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lliot's Computer\Documents\"/>
    </mc:Choice>
  </mc:AlternateContent>
  <bookViews>
    <workbookView xWindow="0" yWindow="0" windowWidth="28800" windowHeight="12330"/>
  </bookViews>
  <sheets>
    <sheet name="Info Sheet" sheetId="6" r:id="rId1"/>
    <sheet name="Oil Pressing" sheetId="1" r:id="rId2"/>
    <sheet name="Maize Shelling" sheetId="8" r:id="rId3"/>
    <sheet name="Spice Grinding" sheetId="9" r:id="rId4"/>
    <sheet name="Rice Hulling" sheetId="10" r:id="rId5"/>
    <sheet name="Juice Making" sheetId="11" r:id="rId6"/>
    <sheet name="Sugarcane Juicing" sheetId="13" r:id="rId7"/>
    <sheet name="Fruit Drying" sheetId="17" r:id="rId8"/>
    <sheet name="Flour Milling" sheetId="14" r:id="rId9"/>
    <sheet name="Peanut Shelling" sheetId="15" r:id="rId10"/>
    <sheet name="Coffee Pulping" sheetId="2" r:id="rId1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8" i="1" l="1"/>
  <c r="L58" i="1"/>
  <c r="K58" i="1"/>
  <c r="F55" i="8"/>
  <c r="E55" i="8"/>
  <c r="D55" i="8"/>
  <c r="E54" i="2"/>
  <c r="F54" i="2"/>
  <c r="D54" i="2"/>
  <c r="E54" i="15"/>
  <c r="F54" i="15"/>
  <c r="D54" i="15"/>
  <c r="E51" i="15"/>
  <c r="F51" i="15"/>
  <c r="D51" i="15"/>
  <c r="E53" i="15"/>
  <c r="F53" i="15"/>
  <c r="D53" i="15"/>
  <c r="K13" i="14"/>
  <c r="F53" i="2"/>
  <c r="F55" i="2" s="1"/>
  <c r="F52" i="2"/>
  <c r="E52" i="2"/>
  <c r="D52" i="2"/>
  <c r="F51" i="2"/>
  <c r="E51" i="2"/>
  <c r="E53" i="2" s="1"/>
  <c r="E55" i="2" s="1"/>
  <c r="D51" i="2"/>
  <c r="D53" i="2" s="1"/>
  <c r="D55" i="2" s="1"/>
  <c r="E56" i="8"/>
  <c r="F56" i="8"/>
  <c r="D56" i="8"/>
  <c r="D52" i="8"/>
  <c r="E52" i="8"/>
  <c r="E53" i="8" s="1"/>
  <c r="F52" i="8"/>
  <c r="E51" i="8"/>
  <c r="F51" i="8"/>
  <c r="D51" i="8"/>
  <c r="F53" i="8"/>
  <c r="D53" i="8"/>
  <c r="L59" i="1"/>
  <c r="M59" i="1"/>
  <c r="K59" i="1"/>
  <c r="F51" i="10"/>
  <c r="E51" i="10"/>
  <c r="D51" i="10"/>
  <c r="E54" i="14"/>
  <c r="F54" i="14"/>
  <c r="D54" i="14"/>
  <c r="E55" i="15"/>
  <c r="F55" i="15"/>
  <c r="D55" i="15"/>
  <c r="D46" i="15"/>
  <c r="D45" i="15"/>
  <c r="D47" i="15" s="1"/>
  <c r="K46" i="14"/>
  <c r="K45" i="14"/>
  <c r="D46" i="14"/>
  <c r="D45" i="14"/>
  <c r="D46" i="10"/>
  <c r="D45" i="10"/>
  <c r="D44" i="10"/>
  <c r="D46" i="2"/>
  <c r="D45" i="2"/>
  <c r="D47" i="2" s="1"/>
  <c r="D46" i="8"/>
  <c r="D16" i="8"/>
  <c r="D45" i="8"/>
  <c r="D47" i="8" s="1"/>
  <c r="K49" i="1"/>
  <c r="D47" i="14" l="1"/>
  <c r="K47" i="14"/>
  <c r="F26" i="15"/>
  <c r="F52" i="15" s="1"/>
  <c r="E26" i="15"/>
  <c r="E52" i="15" s="1"/>
  <c r="D26" i="15"/>
  <c r="D52" i="15" s="1"/>
  <c r="L36" i="14"/>
  <c r="M36" i="14"/>
  <c r="K36" i="14"/>
  <c r="L27" i="14"/>
  <c r="K14" i="14"/>
  <c r="M28" i="14" s="1"/>
  <c r="M52" i="14" s="1"/>
  <c r="D47" i="17"/>
  <c r="D48" i="17"/>
  <c r="D49" i="17" s="1"/>
  <c r="E46" i="17"/>
  <c r="F46" i="17"/>
  <c r="D46" i="17"/>
  <c r="F48" i="17"/>
  <c r="F49" i="17" s="1"/>
  <c r="F47" i="17"/>
  <c r="E47" i="17"/>
  <c r="E48" i="17"/>
  <c r="E49" i="17" s="1"/>
  <c r="L38" i="17"/>
  <c r="M38" i="17"/>
  <c r="K38" i="17"/>
  <c r="L37" i="17"/>
  <c r="M37" i="17"/>
  <c r="K37" i="17"/>
  <c r="M31" i="17"/>
  <c r="M32" i="17" s="1"/>
  <c r="M33" i="17" s="1"/>
  <c r="L31" i="17"/>
  <c r="K31" i="17"/>
  <c r="M30" i="17"/>
  <c r="L30" i="17"/>
  <c r="K30" i="17"/>
  <c r="K17" i="17"/>
  <c r="M39" i="17"/>
  <c r="L39" i="17"/>
  <c r="K39" i="17"/>
  <c r="K32" i="17"/>
  <c r="K33" i="17" s="1"/>
  <c r="K40" i="17" s="1"/>
  <c r="K19" i="17"/>
  <c r="K15" i="17"/>
  <c r="D37" i="17"/>
  <c r="F31" i="17"/>
  <c r="E31" i="17"/>
  <c r="D31" i="17"/>
  <c r="E30" i="17"/>
  <c r="E37" i="17" s="1"/>
  <c r="F30" i="17"/>
  <c r="F37" i="17" s="1"/>
  <c r="D30" i="17"/>
  <c r="D19" i="17"/>
  <c r="D15" i="17"/>
  <c r="F39" i="17"/>
  <c r="E39" i="17"/>
  <c r="D39" i="17"/>
  <c r="F45" i="11"/>
  <c r="F47" i="11"/>
  <c r="E46" i="11"/>
  <c r="E47" i="11" s="1"/>
  <c r="F46" i="11"/>
  <c r="F44" i="11"/>
  <c r="E44" i="11"/>
  <c r="E45" i="11" s="1"/>
  <c r="D44" i="11"/>
  <c r="D45" i="11" s="1"/>
  <c r="D26" i="10"/>
  <c r="D50" i="10" s="1"/>
  <c r="D52" i="10" s="1"/>
  <c r="D53" i="10" s="1"/>
  <c r="E39" i="1"/>
  <c r="F39" i="1"/>
  <c r="D39" i="1"/>
  <c r="M27" i="14" l="1"/>
  <c r="M51" i="14" s="1"/>
  <c r="M53" i="14" s="1"/>
  <c r="M54" i="14" s="1"/>
  <c r="L34" i="14"/>
  <c r="L51" i="14"/>
  <c r="M34" i="14"/>
  <c r="K27" i="14"/>
  <c r="L28" i="14"/>
  <c r="L52" i="14" s="1"/>
  <c r="K28" i="14"/>
  <c r="K52" i="14" s="1"/>
  <c r="M29" i="14"/>
  <c r="M30" i="14" s="1"/>
  <c r="M35" i="14" s="1"/>
  <c r="M37" i="14" s="1"/>
  <c r="M38" i="14" s="1"/>
  <c r="K29" i="14"/>
  <c r="K30" i="14" s="1"/>
  <c r="K35" i="14" s="1"/>
  <c r="M40" i="17"/>
  <c r="K41" i="17"/>
  <c r="K42" i="17"/>
  <c r="M42" i="17"/>
  <c r="L32" i="17"/>
  <c r="L33" i="17" s="1"/>
  <c r="L40" i="17" s="1"/>
  <c r="L41" i="17" s="1"/>
  <c r="M41" i="17"/>
  <c r="F32" i="17"/>
  <c r="D32" i="17"/>
  <c r="E32" i="17"/>
  <c r="D46" i="11"/>
  <c r="D47" i="11" s="1"/>
  <c r="L53" i="14" l="1"/>
  <c r="L54" i="14" s="1"/>
  <c r="L29" i="14"/>
  <c r="L30" i="14" s="1"/>
  <c r="L35" i="14" s="1"/>
  <c r="L37" i="14" s="1"/>
  <c r="L38" i="14" s="1"/>
  <c r="K34" i="14"/>
  <c r="K51" i="14"/>
  <c r="K53" i="14" s="1"/>
  <c r="K54" i="14" s="1"/>
  <c r="M39" i="14"/>
  <c r="K37" i="14"/>
  <c r="K38" i="14" s="1"/>
  <c r="K39" i="14"/>
  <c r="E33" i="17"/>
  <c r="E38" i="17" s="1"/>
  <c r="F33" i="17"/>
  <c r="F38" i="17" s="1"/>
  <c r="D33" i="17"/>
  <c r="D38" i="17" s="1"/>
  <c r="L42" i="17"/>
  <c r="M46" i="13"/>
  <c r="M47" i="13" s="1"/>
  <c r="L46" i="13"/>
  <c r="K46" i="13"/>
  <c r="K47" i="13" s="1"/>
  <c r="L47" i="13"/>
  <c r="F47" i="13"/>
  <c r="F46" i="13"/>
  <c r="E46" i="13"/>
  <c r="E47" i="13" s="1"/>
  <c r="D46" i="13"/>
  <c r="D47" i="13" s="1"/>
  <c r="F27" i="15"/>
  <c r="E27" i="15"/>
  <c r="D27" i="15"/>
  <c r="F33" i="15"/>
  <c r="E33" i="15"/>
  <c r="F35" i="15"/>
  <c r="E35" i="15"/>
  <c r="D35" i="15"/>
  <c r="D33" i="15"/>
  <c r="F36" i="14"/>
  <c r="E36" i="14"/>
  <c r="D36" i="14"/>
  <c r="E27" i="14"/>
  <c r="E34" i="14" s="1"/>
  <c r="F27" i="14"/>
  <c r="F51" i="14" s="1"/>
  <c r="D27" i="14"/>
  <c r="D51" i="14" s="1"/>
  <c r="L39" i="13"/>
  <c r="M39" i="13"/>
  <c r="K39" i="13"/>
  <c r="M31" i="13"/>
  <c r="M32" i="13" s="1"/>
  <c r="M33" i="13" s="1"/>
  <c r="L31" i="13"/>
  <c r="L32" i="13" s="1"/>
  <c r="L30" i="13"/>
  <c r="M30" i="13"/>
  <c r="K31" i="13"/>
  <c r="K30" i="13"/>
  <c r="K19" i="13"/>
  <c r="K37" i="13" s="1"/>
  <c r="F39" i="13"/>
  <c r="E39" i="13"/>
  <c r="D39" i="13"/>
  <c r="F31" i="13"/>
  <c r="E31" i="13"/>
  <c r="D31" i="13"/>
  <c r="E30" i="13"/>
  <c r="F30" i="13"/>
  <c r="F32" i="13" s="1"/>
  <c r="D30" i="13"/>
  <c r="D33" i="10"/>
  <c r="F35" i="10"/>
  <c r="E35" i="10"/>
  <c r="D35" i="10"/>
  <c r="F27" i="10"/>
  <c r="E27" i="10"/>
  <c r="D27" i="10"/>
  <c r="E26" i="10"/>
  <c r="F26" i="10"/>
  <c r="F34" i="9"/>
  <c r="E34" i="9"/>
  <c r="D34" i="9"/>
  <c r="F26" i="9"/>
  <c r="F27" i="9" s="1"/>
  <c r="F28" i="9" s="1"/>
  <c r="F33" i="9" s="1"/>
  <c r="E26" i="9"/>
  <c r="E25" i="9"/>
  <c r="E32" i="9" s="1"/>
  <c r="F25" i="9"/>
  <c r="F32" i="9" s="1"/>
  <c r="D26" i="9"/>
  <c r="D25" i="9"/>
  <c r="D32" i="9" s="1"/>
  <c r="F34" i="8"/>
  <c r="F36" i="8" s="1"/>
  <c r="E33" i="8"/>
  <c r="F33" i="8"/>
  <c r="D33" i="8"/>
  <c r="F29" i="8"/>
  <c r="F35" i="8"/>
  <c r="E35" i="8"/>
  <c r="D35" i="8"/>
  <c r="F27" i="8"/>
  <c r="E27" i="8"/>
  <c r="E28" i="8" s="1"/>
  <c r="E29" i="8" s="1"/>
  <c r="E34" i="8" s="1"/>
  <c r="F28" i="8"/>
  <c r="D27" i="8"/>
  <c r="E26" i="8"/>
  <c r="F26" i="8"/>
  <c r="D26" i="8"/>
  <c r="E35" i="2"/>
  <c r="F35" i="2"/>
  <c r="D35" i="2"/>
  <c r="E33" i="2"/>
  <c r="F33" i="2"/>
  <c r="D33" i="2"/>
  <c r="F27" i="2"/>
  <c r="F28" i="2" s="1"/>
  <c r="F29" i="2" s="1"/>
  <c r="F34" i="2" s="1"/>
  <c r="E27" i="2"/>
  <c r="E28" i="2" s="1"/>
  <c r="E29" i="2" s="1"/>
  <c r="E34" i="2" s="1"/>
  <c r="D27" i="2"/>
  <c r="E26" i="2"/>
  <c r="F26" i="2"/>
  <c r="D26" i="2"/>
  <c r="E37" i="11"/>
  <c r="F37" i="11"/>
  <c r="D37" i="11"/>
  <c r="E28" i="11"/>
  <c r="F28" i="11"/>
  <c r="D28" i="11"/>
  <c r="L39" i="1"/>
  <c r="M39" i="1"/>
  <c r="K39" i="1"/>
  <c r="R12" i="1"/>
  <c r="R10" i="1" s="1"/>
  <c r="K10" i="1"/>
  <c r="F31" i="1"/>
  <c r="E31" i="1"/>
  <c r="D31" i="1"/>
  <c r="F30" i="1"/>
  <c r="F37" i="1" s="1"/>
  <c r="E30" i="1"/>
  <c r="E37" i="1" s="1"/>
  <c r="D30" i="1"/>
  <c r="E33" i="10" l="1"/>
  <c r="E50" i="10"/>
  <c r="E52" i="10" s="1"/>
  <c r="E53" i="10" s="1"/>
  <c r="F28" i="10"/>
  <c r="F29" i="10" s="1"/>
  <c r="F34" i="10" s="1"/>
  <c r="F36" i="10" s="1"/>
  <c r="F50" i="10"/>
  <c r="F52" i="10" s="1"/>
  <c r="F53" i="10" s="1"/>
  <c r="L39" i="14"/>
  <c r="E36" i="2"/>
  <c r="F28" i="15"/>
  <c r="F29" i="15" s="1"/>
  <c r="E28" i="15"/>
  <c r="E29" i="15" s="1"/>
  <c r="E34" i="15" s="1"/>
  <c r="E38" i="15" s="1"/>
  <c r="F40" i="17"/>
  <c r="F41" i="17" s="1"/>
  <c r="F42" i="17"/>
  <c r="E42" i="17"/>
  <c r="E40" i="17"/>
  <c r="E41" i="17" s="1"/>
  <c r="D42" i="17"/>
  <c r="D40" i="17"/>
  <c r="D41" i="17" s="1"/>
  <c r="E36" i="8"/>
  <c r="E37" i="8" s="1"/>
  <c r="F33" i="10"/>
  <c r="E51" i="14"/>
  <c r="D34" i="14"/>
  <c r="M37" i="13"/>
  <c r="L37" i="13"/>
  <c r="D37" i="1"/>
  <c r="F34" i="14"/>
  <c r="M38" i="13"/>
  <c r="M40" i="13" s="1"/>
  <c r="M41" i="13" s="1"/>
  <c r="K32" i="13"/>
  <c r="K33" i="13" s="1"/>
  <c r="K38" i="13" s="1"/>
  <c r="K42" i="13" s="1"/>
  <c r="L33" i="13"/>
  <c r="E32" i="13"/>
  <c r="E28" i="10"/>
  <c r="E29" i="10" s="1"/>
  <c r="E34" i="10" s="1"/>
  <c r="E36" i="10" s="1"/>
  <c r="E27" i="9"/>
  <c r="E28" i="9" s="1"/>
  <c r="E33" i="9" s="1"/>
  <c r="E35" i="9" s="1"/>
  <c r="E36" i="9" s="1"/>
  <c r="F37" i="9"/>
  <c r="F35" i="9"/>
  <c r="F36" i="9" s="1"/>
  <c r="F38" i="8"/>
  <c r="F37" i="8"/>
  <c r="E38" i="8"/>
  <c r="F36" i="2"/>
  <c r="F37" i="2" s="1"/>
  <c r="E37" i="2"/>
  <c r="E38" i="2"/>
  <c r="F38" i="2"/>
  <c r="E32" i="1"/>
  <c r="E33" i="1" s="1"/>
  <c r="F32" i="1"/>
  <c r="F33" i="1" s="1"/>
  <c r="D32" i="1"/>
  <c r="D33" i="1" s="1"/>
  <c r="E37" i="10" l="1"/>
  <c r="F37" i="10"/>
  <c r="F38" i="10"/>
  <c r="E36" i="15"/>
  <c r="E37" i="15" s="1"/>
  <c r="E38" i="10"/>
  <c r="M42" i="13"/>
  <c r="K40" i="13"/>
  <c r="K41" i="13" s="1"/>
  <c r="L38" i="13"/>
  <c r="L42" i="13" s="1"/>
  <c r="E37" i="9"/>
  <c r="D38" i="1"/>
  <c r="F38" i="1"/>
  <c r="E38" i="1"/>
  <c r="D42" i="1" l="1"/>
  <c r="D40" i="1"/>
  <c r="D41" i="1" s="1"/>
  <c r="E40" i="1"/>
  <c r="E41" i="1" s="1"/>
  <c r="E42" i="1"/>
  <c r="F40" i="1"/>
  <c r="F41" i="1" s="1"/>
  <c r="F42" i="1"/>
  <c r="L40" i="13"/>
  <c r="L41" i="13" s="1"/>
  <c r="R6" i="14" l="1"/>
  <c r="R27" i="14" s="1"/>
  <c r="T28" i="14"/>
  <c r="R28" i="14"/>
  <c r="D14" i="14"/>
  <c r="T27" i="14"/>
  <c r="E28" i="14" l="1"/>
  <c r="F28" i="14"/>
  <c r="D28" i="14"/>
  <c r="F34" i="15"/>
  <c r="D28" i="15"/>
  <c r="R29" i="14"/>
  <c r="R30" i="14" s="1"/>
  <c r="T29" i="14"/>
  <c r="T30" i="14" s="1"/>
  <c r="D19" i="13"/>
  <c r="F29" i="14" l="1"/>
  <c r="F30" i="14" s="1"/>
  <c r="F35" i="14" s="1"/>
  <c r="F39" i="14" s="1"/>
  <c r="F52" i="14"/>
  <c r="F53" i="14" s="1"/>
  <c r="E29" i="14"/>
  <c r="E30" i="14" s="1"/>
  <c r="E35" i="14" s="1"/>
  <c r="E39" i="14" s="1"/>
  <c r="E52" i="14"/>
  <c r="E53" i="14" s="1"/>
  <c r="D29" i="15"/>
  <c r="D34" i="15" s="1"/>
  <c r="D52" i="14"/>
  <c r="D53" i="14" s="1"/>
  <c r="D29" i="14"/>
  <c r="D30" i="14" s="1"/>
  <c r="D35" i="14" s="1"/>
  <c r="F36" i="15"/>
  <c r="F37" i="15" s="1"/>
  <c r="F38" i="15"/>
  <c r="F33" i="13"/>
  <c r="F38" i="13" s="1"/>
  <c r="F37" i="13"/>
  <c r="E33" i="13"/>
  <c r="E38" i="13" s="1"/>
  <c r="D37" i="13"/>
  <c r="E37" i="13"/>
  <c r="D32" i="13"/>
  <c r="D33" i="13" s="1"/>
  <c r="D38" i="13" s="1"/>
  <c r="D16" i="11"/>
  <c r="D17" i="11"/>
  <c r="E37" i="14" l="1"/>
  <c r="E38" i="14" s="1"/>
  <c r="F37" i="14"/>
  <c r="F38" i="14" s="1"/>
  <c r="D36" i="15"/>
  <c r="D37" i="15" s="1"/>
  <c r="D38" i="15"/>
  <c r="D37" i="14"/>
  <c r="D38" i="14" s="1"/>
  <c r="D39" i="14"/>
  <c r="D40" i="13"/>
  <c r="D41" i="13" s="1"/>
  <c r="D42" i="13"/>
  <c r="F40" i="13"/>
  <c r="F41" i="13" s="1"/>
  <c r="F42" i="13"/>
  <c r="E40" i="13"/>
  <c r="E41" i="13" s="1"/>
  <c r="E42" i="13"/>
  <c r="D35" i="11"/>
  <c r="F35" i="11"/>
  <c r="E35" i="11"/>
  <c r="F29" i="11"/>
  <c r="F30" i="11" s="1"/>
  <c r="F31" i="11" s="1"/>
  <c r="F36" i="11" s="1"/>
  <c r="F40" i="11" s="1"/>
  <c r="E29" i="11"/>
  <c r="E30" i="11" s="1"/>
  <c r="E31" i="11" s="1"/>
  <c r="D29" i="11"/>
  <c r="D30" i="11" s="1"/>
  <c r="F38" i="11" l="1"/>
  <c r="F39" i="11" s="1"/>
  <c r="E36" i="11"/>
  <c r="E40" i="11" s="1"/>
  <c r="D31" i="11"/>
  <c r="D28" i="8" l="1"/>
  <c r="D29" i="8" s="1"/>
  <c r="D34" i="8" s="1"/>
  <c r="D36" i="11"/>
  <c r="D40" i="11" s="1"/>
  <c r="F48" i="11" s="1"/>
  <c r="E38" i="11"/>
  <c r="E39" i="11" s="1"/>
  <c r="D28" i="10"/>
  <c r="D29" i="10" s="1"/>
  <c r="D34" i="10" s="1"/>
  <c r="D27" i="9"/>
  <c r="D28" i="9" s="1"/>
  <c r="D33" i="9" s="1"/>
  <c r="R14" i="1"/>
  <c r="R13" i="1"/>
  <c r="K14" i="1"/>
  <c r="K13" i="1"/>
  <c r="K50" i="1" s="1"/>
  <c r="K51" i="1" s="1"/>
  <c r="D36" i="8" l="1"/>
  <c r="D37" i="8" s="1"/>
  <c r="D38" i="8"/>
  <c r="D36" i="10"/>
  <c r="D37" i="10" s="1"/>
  <c r="D38" i="10"/>
  <c r="D37" i="9"/>
  <c r="D35" i="9"/>
  <c r="D36" i="9" s="1"/>
  <c r="D38" i="11"/>
  <c r="L30" i="1"/>
  <c r="M30" i="1"/>
  <c r="K30" i="1"/>
  <c r="T30" i="1"/>
  <c r="S30" i="1"/>
  <c r="R30" i="1"/>
  <c r="M31" i="1"/>
  <c r="M56" i="1" s="1"/>
  <c r="L31" i="1"/>
  <c r="L56" i="1" s="1"/>
  <c r="K31" i="1"/>
  <c r="K56" i="1" s="1"/>
  <c r="T31" i="1"/>
  <c r="S31" i="1"/>
  <c r="R31" i="1"/>
  <c r="D28" i="2"/>
  <c r="D29" i="2" s="1"/>
  <c r="D34" i="2" s="1"/>
  <c r="L37" i="1" l="1"/>
  <c r="L55" i="1"/>
  <c r="L57" i="1" s="1"/>
  <c r="K37" i="1"/>
  <c r="K55" i="1"/>
  <c r="M37" i="1"/>
  <c r="M55" i="1"/>
  <c r="M57" i="1" s="1"/>
  <c r="D39" i="11"/>
  <c r="E48" i="11" s="1"/>
  <c r="D48" i="11"/>
  <c r="D36" i="2"/>
  <c r="D37" i="2" s="1"/>
  <c r="D38" i="2"/>
  <c r="T32" i="1"/>
  <c r="T33" i="1" s="1"/>
  <c r="S32" i="1"/>
  <c r="S33" i="1" s="1"/>
  <c r="K32" i="1"/>
  <c r="K57" i="1"/>
  <c r="M32" i="1"/>
  <c r="M33" i="1" s="1"/>
  <c r="M38" i="1" s="1"/>
  <c r="K33" i="1"/>
  <c r="K38" i="1" s="1"/>
  <c r="K42" i="1" s="1"/>
  <c r="L32" i="1"/>
  <c r="L33" i="1" s="1"/>
  <c r="L38" i="1" s="1"/>
  <c r="R32" i="1"/>
  <c r="R33" i="1" s="1"/>
  <c r="M40" i="1" l="1"/>
  <c r="M41" i="1" s="1"/>
  <c r="M42" i="1"/>
  <c r="L40" i="1"/>
  <c r="L41" i="1" s="1"/>
  <c r="L42" i="1"/>
  <c r="K40" i="1"/>
  <c r="K41" i="1" s="1"/>
</calcChain>
</file>

<file path=xl/sharedStrings.xml><?xml version="1.0" encoding="utf-8"?>
<sst xmlns="http://schemas.openxmlformats.org/spreadsheetml/2006/main" count="1342" uniqueCount="161">
  <si>
    <t>Technology Assumptions</t>
  </si>
  <si>
    <t>Specifications</t>
  </si>
  <si>
    <t>Power</t>
  </si>
  <si>
    <t>Throughput</t>
  </si>
  <si>
    <t>Unit</t>
  </si>
  <si>
    <t>Value</t>
  </si>
  <si>
    <t>kW</t>
  </si>
  <si>
    <t>kg/h</t>
  </si>
  <si>
    <t>Business Inputs and Assumptions</t>
  </si>
  <si>
    <t>Price per Seed</t>
  </si>
  <si>
    <t>$/kg</t>
  </si>
  <si>
    <t>Seasonal Utilization Factor</t>
  </si>
  <si>
    <t>%</t>
  </si>
  <si>
    <t>Daily Usage</t>
  </si>
  <si>
    <t>h/day</t>
  </si>
  <si>
    <t>Tariff Assumptions</t>
  </si>
  <si>
    <t>Specification</t>
  </si>
  <si>
    <t>$/kWh</t>
  </si>
  <si>
    <t>Calculations</t>
  </si>
  <si>
    <t>$/h</t>
  </si>
  <si>
    <t>$/day</t>
  </si>
  <si>
    <t>Small-Scale Oil Expeller Model</t>
  </si>
  <si>
    <t>Loading Capacity</t>
  </si>
  <si>
    <t>kg/batch</t>
  </si>
  <si>
    <t>Batch Cycle Time</t>
  </si>
  <si>
    <t>Batches per Hour</t>
  </si>
  <si>
    <t>Duty Cycle</t>
  </si>
  <si>
    <t>s/batch</t>
  </si>
  <si>
    <t>batch/h</t>
  </si>
  <si>
    <t>Price per Dried Avocado</t>
  </si>
  <si>
    <t>Hourly Revenue</t>
  </si>
  <si>
    <t>Hourly Operating Expenses</t>
  </si>
  <si>
    <t>Hourly Gross Profit</t>
  </si>
  <si>
    <t>Daily Gross Profit</t>
  </si>
  <si>
    <t>Small-Scale Coffee Pulping Machine</t>
  </si>
  <si>
    <t>Cherries per Bucket</t>
  </si>
  <si>
    <t>Price per Bucket</t>
  </si>
  <si>
    <t>kg/bucket</t>
  </si>
  <si>
    <t>$/bucket</t>
  </si>
  <si>
    <t>Hourly Income for Small-Scale Hydraulic Press Business</t>
  </si>
  <si>
    <t>Small-Scale Oil Hydraulic Press Model</t>
  </si>
  <si>
    <t>Small-Scale Oil Hydraulic Press Model: Lower Power Variation</t>
  </si>
  <si>
    <t>Developed by Access to Energy Institute gGMBH</t>
  </si>
  <si>
    <t>February, 2020</t>
  </si>
  <si>
    <t>Blue = Input Cells</t>
  </si>
  <si>
    <t>Black = Automatically Calculated</t>
  </si>
  <si>
    <t>Maize per Sack</t>
  </si>
  <si>
    <t>Price per Sack</t>
  </si>
  <si>
    <t>kg/sack</t>
  </si>
  <si>
    <t>$/sack</t>
  </si>
  <si>
    <t>Price per Kilogram</t>
  </si>
  <si>
    <t>Small-Scale Juice Making</t>
  </si>
  <si>
    <t>Small-Scale Rice Hulling Machine</t>
  </si>
  <si>
    <t>Small-Scale Spice-Grinding Machine</t>
  </si>
  <si>
    <t>Small-Scale Maize Shelling Machine</t>
  </si>
  <si>
    <t>L/hr</t>
  </si>
  <si>
    <t>L/cup</t>
  </si>
  <si>
    <t>Price per Cup</t>
  </si>
  <si>
    <t>Juice per Cup</t>
  </si>
  <si>
    <t>$/cup</t>
  </si>
  <si>
    <t>Juice Sales per Day</t>
  </si>
  <si>
    <t>cup/day</t>
  </si>
  <si>
    <t>Material Input Costs</t>
  </si>
  <si>
    <t>Cups per Sugarcane</t>
  </si>
  <si>
    <t>Cost of Sugarcane</t>
  </si>
  <si>
    <t>$/piece</t>
  </si>
  <si>
    <t>Other Material Costs</t>
  </si>
  <si>
    <t>cup/piece</t>
  </si>
  <si>
    <t>Metric</t>
  </si>
  <si>
    <t>Energy Costs Per Cup</t>
  </si>
  <si>
    <t>Cups per Day</t>
  </si>
  <si>
    <t>Price per kg</t>
  </si>
  <si>
    <t>Efficiency</t>
  </si>
  <si>
    <t>kg/kWh</t>
  </si>
  <si>
    <t>Screen Replacement</t>
  </si>
  <si>
    <t>Screen Cost</t>
  </si>
  <si>
    <t>$/screen</t>
  </si>
  <si>
    <t>h/screen</t>
  </si>
  <si>
    <t>Small-Scale Peanut Shelling Business</t>
  </si>
  <si>
    <t>Shelling Price</t>
  </si>
  <si>
    <t>Bucket Size</t>
  </si>
  <si>
    <t>Per Kilowatt-Hour Income for Small-Scale Flour Milling Business</t>
  </si>
  <si>
    <t>Conservative Tariff</t>
  </si>
  <si>
    <t>Middle Tariff</t>
  </si>
  <si>
    <t>Ideal Tariff</t>
  </si>
  <si>
    <t>Batch Loading, Unloading, Holding Time</t>
  </si>
  <si>
    <t>Batche Extending and Retracting Time</t>
  </si>
  <si>
    <t>CAPEX Costs</t>
  </si>
  <si>
    <t>$</t>
  </si>
  <si>
    <t>Capitalization Period</t>
  </si>
  <si>
    <t>years</t>
  </si>
  <si>
    <t>Hourly Unit Economics</t>
  </si>
  <si>
    <t>Annual Gross Profit</t>
  </si>
  <si>
    <t>$/year</t>
  </si>
  <si>
    <t>Annual Net Profit</t>
  </si>
  <si>
    <t>Annual Depreciation Expenses</t>
  </si>
  <si>
    <t>Annual Net Profit (%)</t>
  </si>
  <si>
    <t>Annual Revenue</t>
  </si>
  <si>
    <t>CAPEX over Gross Margin</t>
  </si>
  <si>
    <t>Base Tariff</t>
  </si>
  <si>
    <t>Annual Income</t>
  </si>
  <si>
    <t>Small-Scale Modern Sugarcane Juice Maker</t>
  </si>
  <si>
    <t>Retrofit Sugarcane Juice Making</t>
  </si>
  <si>
    <t>Additional Calculations</t>
  </si>
  <si>
    <t>Revenue per Kilogram</t>
  </si>
  <si>
    <t>Operating Expenses per Kilogram</t>
  </si>
  <si>
    <t>Gross Profit per Kilogram</t>
  </si>
  <si>
    <t>Small-Scale Maize Milling Business: Efficiency Model</t>
  </si>
  <si>
    <t>Additional Calulations</t>
  </si>
  <si>
    <t>Rice per Sack</t>
  </si>
  <si>
    <t>Electricity Costs per Glass</t>
  </si>
  <si>
    <t>Cups for Electricity Costs to Equal CAPEX</t>
  </si>
  <si>
    <t>cups</t>
  </si>
  <si>
    <t>cup</t>
  </si>
  <si>
    <t>days</t>
  </si>
  <si>
    <t>Days for Electricity Costs to Equal CAPEX</t>
  </si>
  <si>
    <t>Electricity Costs</t>
  </si>
  <si>
    <t>Capacity</t>
  </si>
  <si>
    <t>m2</t>
  </si>
  <si>
    <t>kg/m2</t>
  </si>
  <si>
    <t>Dry-to-Wet Ratio</t>
  </si>
  <si>
    <t>Drying Time</t>
  </si>
  <si>
    <t>h</t>
  </si>
  <si>
    <t>Market Price for Dry Mango</t>
  </si>
  <si>
    <t>Mango Weight</t>
  </si>
  <si>
    <t>kg/mango</t>
  </si>
  <si>
    <t>Mango Farm-gate Price</t>
  </si>
  <si>
    <t>$/mango</t>
  </si>
  <si>
    <t>Fruit Drying for Local Markets</t>
  </si>
  <si>
    <t>Fruit Drying for Upscale Markets</t>
  </si>
  <si>
    <t>Value Addition from Drying</t>
  </si>
  <si>
    <t>Price for Mango after Drying</t>
  </si>
  <si>
    <t>Remote Maize Milling Business</t>
  </si>
  <si>
    <t>High Traffic Maize Milling Business</t>
  </si>
  <si>
    <t>Acre per Farm</t>
  </si>
  <si>
    <t>Number of Farms</t>
  </si>
  <si>
    <t>acre/farm</t>
  </si>
  <si>
    <t>farms</t>
  </si>
  <si>
    <t>Crops per Acre per Year</t>
  </si>
  <si>
    <t>kg/acre-year</t>
  </si>
  <si>
    <t>Days of Operation</t>
  </si>
  <si>
    <t>day/year</t>
  </si>
  <si>
    <t>Hours of Operation</t>
  </si>
  <si>
    <t>Daily Utilization Calculation</t>
  </si>
  <si>
    <t>Coffee Cherries per Acre per Year</t>
  </si>
  <si>
    <t>kg/house-year</t>
  </si>
  <si>
    <t>Number of Houses</t>
  </si>
  <si>
    <t>houses</t>
  </si>
  <si>
    <t>Maize Flour per Household per Year</t>
  </si>
  <si>
    <t>Rice Consumed per Household per Year</t>
  </si>
  <si>
    <t>Shelled Peanuts per Acre per Year</t>
  </si>
  <si>
    <t>Gross Profit per Acre</t>
  </si>
  <si>
    <t>$/acre</t>
  </si>
  <si>
    <t>Gross Profit per House</t>
  </si>
  <si>
    <t>$/house</t>
  </si>
  <si>
    <t>Kernel  to Cob Weight Ratio</t>
  </si>
  <si>
    <t>Nut to Shell Ratio</t>
  </si>
  <si>
    <t>Gross Profit per Kg Shelled</t>
  </si>
  <si>
    <t>Revenue per Kg Shelled</t>
  </si>
  <si>
    <t>Revenue per Ton Transported</t>
  </si>
  <si>
    <t>$/ton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</si>
</sst>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0_);\(&quot;$&quot;#,##0.000\)"/>
    <numFmt numFmtId="165" formatCode="&quot;$&quot;#,##0.0000_);\(&quot;$&quot;#,##0.0000\)"/>
    <numFmt numFmtId="166" formatCode="0.0"/>
    <numFmt numFmtId="167" formatCode="0.0%"/>
    <numFmt numFmtId="168" formatCode="&quot;$&quot;#,##0.000_);[Red]\(&quot;$&quot;#,##0.000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9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0" fillId="0" borderId="1" xfId="0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4" fillId="0" borderId="0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0" fillId="0" borderId="3" xfId="0" applyFont="1" applyBorder="1" applyAlignment="1">
      <alignment horizontal="justify" vertical="center" wrapText="1"/>
    </xf>
    <xf numFmtId="0" fontId="0" fillId="0" borderId="4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5" fillId="0" borderId="13" xfId="0" applyFont="1" applyBorder="1" applyAlignment="1">
      <alignment horizontal="justify" vertical="center" wrapText="1"/>
    </xf>
    <xf numFmtId="0" fontId="2" fillId="0" borderId="12" xfId="0" applyFont="1" applyBorder="1" applyAlignment="1">
      <alignment horizontal="justify" vertical="center" wrapText="1"/>
    </xf>
    <xf numFmtId="0" fontId="0" fillId="0" borderId="0" xfId="0" applyFill="1" applyBorder="1"/>
    <xf numFmtId="0" fontId="0" fillId="0" borderId="1" xfId="0" applyFill="1" applyBorder="1"/>
    <xf numFmtId="0" fontId="0" fillId="0" borderId="3" xfId="0" applyFill="1" applyBorder="1"/>
    <xf numFmtId="0" fontId="0" fillId="0" borderId="4" xfId="0" applyFill="1" applyBorder="1"/>
    <xf numFmtId="9" fontId="0" fillId="0" borderId="5" xfId="0" applyNumberFormat="1" applyBorder="1"/>
    <xf numFmtId="7" fontId="4" fillId="0" borderId="2" xfId="1" applyNumberFormat="1" applyFont="1" applyBorder="1" applyAlignment="1">
      <alignment horizontal="justify" vertical="center" wrapText="1"/>
    </xf>
    <xf numFmtId="7" fontId="4" fillId="0" borderId="2" xfId="1" applyNumberFormat="1" applyFont="1" applyBorder="1" applyAlignment="1">
      <alignment horizontal="right" vertical="center" wrapText="1"/>
    </xf>
    <xf numFmtId="7" fontId="4" fillId="0" borderId="5" xfId="1" applyNumberFormat="1" applyFont="1" applyBorder="1" applyAlignment="1">
      <alignment horizontal="right" vertical="center" wrapText="1"/>
    </xf>
    <xf numFmtId="7" fontId="4" fillId="0" borderId="5" xfId="1" applyNumberFormat="1" applyFont="1" applyBorder="1" applyAlignment="1">
      <alignment horizontal="justify" vertical="center" wrapText="1"/>
    </xf>
    <xf numFmtId="7" fontId="4" fillId="0" borderId="0" xfId="1" applyNumberFormat="1" applyFont="1" applyBorder="1" applyAlignment="1">
      <alignment horizontal="justify" vertical="center" wrapText="1"/>
    </xf>
    <xf numFmtId="0" fontId="5" fillId="0" borderId="10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justify" vertical="center" wrapText="1"/>
    </xf>
    <xf numFmtId="7" fontId="4" fillId="0" borderId="4" xfId="1" applyNumberFormat="1" applyFont="1" applyBorder="1" applyAlignment="1">
      <alignment horizontal="justify" vertical="center" wrapText="1"/>
    </xf>
    <xf numFmtId="7" fontId="0" fillId="0" borderId="0" xfId="0" applyNumberFormat="1"/>
    <xf numFmtId="0" fontId="6" fillId="0" borderId="2" xfId="0" applyFont="1" applyBorder="1"/>
    <xf numFmtId="0" fontId="6" fillId="0" borderId="5" xfId="0" applyFont="1" applyBorder="1"/>
    <xf numFmtId="164" fontId="6" fillId="0" borderId="2" xfId="1" applyNumberFormat="1" applyFont="1" applyBorder="1" applyAlignment="1">
      <alignment horizontal="right" vertical="center" wrapText="1"/>
    </xf>
    <xf numFmtId="0" fontId="6" fillId="0" borderId="5" xfId="0" applyFont="1" applyBorder="1" applyAlignment="1">
      <alignment horizontal="right" vertical="center" wrapText="1"/>
    </xf>
    <xf numFmtId="7" fontId="6" fillId="0" borderId="2" xfId="1" applyNumberFormat="1" applyFont="1" applyBorder="1" applyAlignment="1">
      <alignment horizontal="right" vertical="center" wrapText="1"/>
    </xf>
    <xf numFmtId="7" fontId="6" fillId="0" borderId="5" xfId="1" applyNumberFormat="1" applyFont="1" applyBorder="1" applyAlignment="1">
      <alignment horizontal="right" vertical="center" wrapText="1"/>
    </xf>
    <xf numFmtId="0" fontId="6" fillId="0" borderId="2" xfId="0" applyFont="1" applyFill="1" applyBorder="1"/>
    <xf numFmtId="9" fontId="6" fillId="0" borderId="2" xfId="0" applyNumberFormat="1" applyFont="1" applyBorder="1"/>
    <xf numFmtId="0" fontId="6" fillId="0" borderId="0" xfId="0" applyFont="1"/>
    <xf numFmtId="0" fontId="6" fillId="0" borderId="2" xfId="1" applyNumberFormat="1" applyFont="1" applyBorder="1" applyAlignment="1">
      <alignment horizontal="right" vertical="center" wrapText="1"/>
    </xf>
    <xf numFmtId="0" fontId="5" fillId="0" borderId="9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justify" vertical="center" wrapText="1"/>
    </xf>
    <xf numFmtId="0" fontId="0" fillId="0" borderId="17" xfId="0" applyBorder="1"/>
    <xf numFmtId="0" fontId="0" fillId="0" borderId="18" xfId="0" applyBorder="1"/>
    <xf numFmtId="166" fontId="6" fillId="0" borderId="19" xfId="0" applyNumberFormat="1" applyFont="1" applyBorder="1"/>
    <xf numFmtId="9" fontId="6" fillId="0" borderId="5" xfId="2" applyFont="1" applyBorder="1"/>
    <xf numFmtId="164" fontId="4" fillId="0" borderId="0" xfId="1" applyNumberFormat="1" applyFont="1" applyBorder="1" applyAlignment="1">
      <alignment horizontal="justify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6" fillId="0" borderId="0" xfId="0" applyFont="1" applyBorder="1"/>
    <xf numFmtId="164" fontId="6" fillId="0" borderId="0" xfId="1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7" fontId="6" fillId="0" borderId="0" xfId="1" applyNumberFormat="1" applyFont="1" applyBorder="1" applyAlignment="1">
      <alignment horizontal="right" vertical="center" wrapText="1"/>
    </xf>
    <xf numFmtId="7" fontId="4" fillId="0" borderId="20" xfId="1" applyNumberFormat="1" applyFont="1" applyBorder="1" applyAlignment="1">
      <alignment horizontal="justify" vertical="center" wrapText="1"/>
    </xf>
    <xf numFmtId="0" fontId="6" fillId="0" borderId="0" xfId="0" applyFont="1" applyFill="1" applyBorder="1"/>
    <xf numFmtId="9" fontId="0" fillId="0" borderId="0" xfId="0" applyNumberFormat="1" applyBorder="1"/>
    <xf numFmtId="9" fontId="6" fillId="0" borderId="5" xfId="2" applyFont="1" applyFill="1" applyBorder="1"/>
    <xf numFmtId="0" fontId="7" fillId="0" borderId="2" xfId="0" applyFont="1" applyFill="1" applyBorder="1"/>
    <xf numFmtId="0" fontId="7" fillId="0" borderId="2" xfId="0" applyFont="1" applyBorder="1"/>
    <xf numFmtId="9" fontId="7" fillId="0" borderId="5" xfId="2" applyFont="1" applyFill="1" applyBorder="1"/>
    <xf numFmtId="0" fontId="2" fillId="0" borderId="1" xfId="0" applyFont="1" applyBorder="1"/>
    <xf numFmtId="0" fontId="2" fillId="0" borderId="2" xfId="0" applyFont="1" applyBorder="1"/>
    <xf numFmtId="0" fontId="0" fillId="0" borderId="1" xfId="0" applyFont="1" applyBorder="1"/>
    <xf numFmtId="0" fontId="0" fillId="0" borderId="0" xfId="0" applyFont="1" applyBorder="1"/>
    <xf numFmtId="0" fontId="5" fillId="0" borderId="0" xfId="0" applyFont="1" applyBorder="1" applyAlignment="1">
      <alignment horizontal="justify" vertical="center" wrapText="1"/>
    </xf>
    <xf numFmtId="7" fontId="4" fillId="0" borderId="0" xfId="0" applyNumberFormat="1" applyFont="1" applyBorder="1" applyAlignment="1">
      <alignment horizontal="justify" vertical="center" wrapText="1"/>
    </xf>
    <xf numFmtId="0" fontId="0" fillId="0" borderId="0" xfId="0" applyFont="1" applyBorder="1" applyAlignment="1">
      <alignment horizontal="justify" vertical="center" wrapText="1"/>
    </xf>
    <xf numFmtId="9" fontId="4" fillId="0" borderId="0" xfId="2" applyFont="1" applyBorder="1" applyAlignment="1">
      <alignment horizontal="justify" vertical="center" wrapText="1"/>
    </xf>
    <xf numFmtId="0" fontId="6" fillId="0" borderId="0" xfId="1" applyNumberFormat="1" applyFont="1" applyBorder="1" applyAlignment="1">
      <alignment horizontal="right" vertical="center" wrapText="1"/>
    </xf>
    <xf numFmtId="9" fontId="6" fillId="0" borderId="0" xfId="0" applyNumberFormat="1" applyFont="1" applyBorder="1"/>
    <xf numFmtId="44" fontId="6" fillId="0" borderId="2" xfId="1" applyFont="1" applyBorder="1"/>
    <xf numFmtId="7" fontId="4" fillId="0" borderId="2" xfId="0" applyNumberFormat="1" applyFont="1" applyBorder="1" applyAlignment="1">
      <alignment horizontal="justify" vertical="center" wrapText="1"/>
    </xf>
    <xf numFmtId="164" fontId="4" fillId="0" borderId="2" xfId="1" applyNumberFormat="1" applyFont="1" applyBorder="1" applyAlignment="1">
      <alignment horizontal="justify" vertical="center" wrapText="1"/>
    </xf>
    <xf numFmtId="9" fontId="4" fillId="0" borderId="2" xfId="2" applyFont="1" applyBorder="1" applyAlignment="1">
      <alignment horizontal="justify" vertical="center" wrapText="1"/>
    </xf>
    <xf numFmtId="0" fontId="4" fillId="0" borderId="3" xfId="0" applyFont="1" applyFill="1" applyBorder="1" applyAlignment="1">
      <alignment horizontal="justify" vertical="center" wrapText="1"/>
    </xf>
    <xf numFmtId="0" fontId="4" fillId="0" borderId="4" xfId="0" applyFont="1" applyFill="1" applyBorder="1" applyAlignment="1">
      <alignment horizontal="justify" vertical="center" wrapText="1"/>
    </xf>
    <xf numFmtId="9" fontId="0" fillId="0" borderId="4" xfId="2" applyFont="1" applyBorder="1"/>
    <xf numFmtId="9" fontId="0" fillId="0" borderId="5" xfId="2" applyFont="1" applyBorder="1"/>
    <xf numFmtId="9" fontId="0" fillId="0" borderId="4" xfId="2" applyFont="1" applyBorder="1" applyAlignment="1">
      <alignment horizontal="left"/>
    </xf>
    <xf numFmtId="9" fontId="0" fillId="0" borderId="5" xfId="2" applyFont="1" applyBorder="1" applyAlignment="1">
      <alignment horizontal="left"/>
    </xf>
    <xf numFmtId="7" fontId="4" fillId="0" borderId="0" xfId="1" applyNumberFormat="1" applyFont="1" applyBorder="1" applyAlignment="1">
      <alignment horizontal="right" vertical="center" wrapText="1"/>
    </xf>
    <xf numFmtId="7" fontId="4" fillId="0" borderId="4" xfId="1" applyNumberFormat="1" applyFont="1" applyBorder="1" applyAlignment="1">
      <alignment horizontal="right" vertical="center" wrapText="1"/>
    </xf>
    <xf numFmtId="7" fontId="4" fillId="0" borderId="0" xfId="0" applyNumberFormat="1" applyFont="1" applyBorder="1" applyAlignment="1">
      <alignment horizontal="right" vertical="center" wrapText="1"/>
    </xf>
    <xf numFmtId="7" fontId="4" fillId="0" borderId="2" xfId="0" applyNumberFormat="1" applyFont="1" applyBorder="1" applyAlignment="1">
      <alignment horizontal="right" vertical="center" wrapText="1"/>
    </xf>
    <xf numFmtId="9" fontId="4" fillId="0" borderId="0" xfId="2" applyFont="1" applyBorder="1" applyAlignment="1">
      <alignment horizontal="right" vertical="center" wrapText="1"/>
    </xf>
    <xf numFmtId="9" fontId="4" fillId="0" borderId="2" xfId="2" applyFont="1" applyBorder="1" applyAlignment="1">
      <alignment horizontal="right" vertical="center" wrapText="1"/>
    </xf>
    <xf numFmtId="9" fontId="0" fillId="0" borderId="4" xfId="2" applyFont="1" applyBorder="1" applyAlignment="1">
      <alignment horizontal="right"/>
    </xf>
    <xf numFmtId="9" fontId="0" fillId="0" borderId="5" xfId="2" applyFont="1" applyBorder="1" applyAlignment="1">
      <alignment horizontal="right"/>
    </xf>
    <xf numFmtId="0" fontId="0" fillId="0" borderId="2" xfId="0" applyBorder="1"/>
    <xf numFmtId="9" fontId="6" fillId="0" borderId="5" xfId="0" applyNumberFormat="1" applyFont="1" applyBorder="1"/>
    <xf numFmtId="7" fontId="4" fillId="0" borderId="0" xfId="0" applyNumberFormat="1" applyFont="1" applyBorder="1" applyAlignment="1">
      <alignment horizontal="left" vertical="center" wrapText="1"/>
    </xf>
    <xf numFmtId="7" fontId="4" fillId="0" borderId="0" xfId="1" applyNumberFormat="1" applyFont="1" applyBorder="1" applyAlignment="1">
      <alignment horizontal="left" vertical="center" wrapText="1"/>
    </xf>
    <xf numFmtId="7" fontId="4" fillId="0" borderId="2" xfId="1" applyNumberFormat="1" applyFont="1" applyBorder="1" applyAlignment="1">
      <alignment horizontal="left" vertical="center" wrapText="1"/>
    </xf>
    <xf numFmtId="164" fontId="4" fillId="0" borderId="0" xfId="1" applyNumberFormat="1" applyFont="1" applyBorder="1" applyAlignment="1">
      <alignment horizontal="left" vertical="center" wrapText="1"/>
    </xf>
    <xf numFmtId="164" fontId="4" fillId="0" borderId="2" xfId="1" applyNumberFormat="1" applyFont="1" applyBorder="1" applyAlignment="1">
      <alignment horizontal="left" vertical="center" wrapText="1"/>
    </xf>
    <xf numFmtId="9" fontId="4" fillId="0" borderId="0" xfId="2" applyFont="1" applyBorder="1" applyAlignment="1">
      <alignment horizontal="left" vertical="center" wrapText="1"/>
    </xf>
    <xf numFmtId="9" fontId="4" fillId="0" borderId="2" xfId="2" applyFont="1" applyBorder="1" applyAlignment="1">
      <alignment horizontal="left" vertical="center" wrapText="1"/>
    </xf>
    <xf numFmtId="44" fontId="6" fillId="0" borderId="0" xfId="1" applyFont="1" applyBorder="1"/>
    <xf numFmtId="7" fontId="4" fillId="0" borderId="2" xfId="0" applyNumberFormat="1" applyFont="1" applyBorder="1" applyAlignment="1">
      <alignment horizontal="left" vertical="center" wrapText="1"/>
    </xf>
    <xf numFmtId="0" fontId="7" fillId="0" borderId="2" xfId="0" applyNumberFormat="1" applyFont="1" applyBorder="1"/>
    <xf numFmtId="0" fontId="7" fillId="0" borderId="0" xfId="0" applyNumberFormat="1" applyFont="1" applyBorder="1"/>
    <xf numFmtId="9" fontId="6" fillId="0" borderId="0" xfId="2" applyFont="1" applyFill="1" applyBorder="1"/>
    <xf numFmtId="0" fontId="7" fillId="0" borderId="0" xfId="0" applyFont="1" applyFill="1" applyBorder="1"/>
    <xf numFmtId="9" fontId="6" fillId="0" borderId="0" xfId="2" applyFont="1" applyBorder="1"/>
    <xf numFmtId="166" fontId="6" fillId="0" borderId="0" xfId="0" applyNumberFormat="1" applyFont="1" applyBorder="1"/>
    <xf numFmtId="165" fontId="4" fillId="0" borderId="0" xfId="0" applyNumberFormat="1" applyFont="1" applyBorder="1" applyAlignment="1">
      <alignment horizontal="left" vertical="center" wrapText="1"/>
    </xf>
    <xf numFmtId="165" fontId="4" fillId="0" borderId="2" xfId="0" applyNumberFormat="1" applyFont="1" applyBorder="1" applyAlignment="1">
      <alignment horizontal="left" vertical="center" wrapText="1"/>
    </xf>
    <xf numFmtId="10" fontId="0" fillId="0" borderId="4" xfId="2" applyNumberFormat="1" applyFont="1" applyBorder="1"/>
    <xf numFmtId="10" fontId="0" fillId="0" borderId="5" xfId="2" applyNumberFormat="1" applyFont="1" applyBorder="1"/>
    <xf numFmtId="0" fontId="4" fillId="0" borderId="1" xfId="0" applyFont="1" applyBorder="1" applyAlignment="1">
      <alignment horizontal="left" vertical="center" wrapText="1"/>
    </xf>
    <xf numFmtId="1" fontId="4" fillId="0" borderId="0" xfId="1" applyNumberFormat="1" applyFont="1" applyBorder="1" applyAlignment="1">
      <alignment horizontal="justify" vertical="center" wrapText="1"/>
    </xf>
    <xf numFmtId="167" fontId="6" fillId="0" borderId="2" xfId="1" applyNumberFormat="1" applyFont="1" applyBorder="1" applyAlignment="1">
      <alignment horizontal="right" vertical="center" wrapText="1"/>
    </xf>
    <xf numFmtId="8" fontId="6" fillId="0" borderId="2" xfId="1" applyNumberFormat="1" applyFont="1" applyBorder="1" applyAlignment="1">
      <alignment horizontal="right" vertical="center" wrapText="1"/>
    </xf>
    <xf numFmtId="168" fontId="6" fillId="0" borderId="2" xfId="1" applyNumberFormat="1" applyFont="1" applyBorder="1" applyAlignment="1">
      <alignment horizontal="right" vertical="center" wrapText="1"/>
    </xf>
    <xf numFmtId="8" fontId="0" fillId="0" borderId="0" xfId="0" applyNumberFormat="1"/>
    <xf numFmtId="0" fontId="5" fillId="0" borderId="0" xfId="0" applyFont="1" applyBorder="1" applyAlignment="1">
      <alignment horizontal="center" vertical="center" wrapText="1"/>
    </xf>
    <xf numFmtId="9" fontId="0" fillId="0" borderId="0" xfId="2" applyFont="1" applyBorder="1" applyAlignment="1">
      <alignment horizontal="left"/>
    </xf>
    <xf numFmtId="2" fontId="6" fillId="0" borderId="2" xfId="0" applyNumberFormat="1" applyFont="1" applyBorder="1"/>
    <xf numFmtId="9" fontId="0" fillId="0" borderId="4" xfId="2" applyNumberFormat="1" applyFont="1" applyBorder="1" applyAlignment="1">
      <alignment horizontal="left"/>
    </xf>
    <xf numFmtId="0" fontId="0" fillId="0" borderId="0" xfId="0" applyNumberFormat="1"/>
    <xf numFmtId="0" fontId="2" fillId="0" borderId="0" xfId="0" applyFont="1" applyFill="1" applyBorder="1"/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justify" vertical="center" wrapText="1"/>
    </xf>
    <xf numFmtId="166" fontId="7" fillId="0" borderId="5" xfId="0" applyNumberFormat="1" applyFont="1" applyBorder="1"/>
    <xf numFmtId="7" fontId="0" fillId="0" borderId="4" xfId="0" applyNumberFormat="1" applyBorder="1" applyAlignment="1">
      <alignment horizontal="left"/>
    </xf>
    <xf numFmtId="7" fontId="0" fillId="0" borderId="5" xfId="0" applyNumberFormat="1" applyBorder="1" applyAlignment="1">
      <alignment horizontal="left"/>
    </xf>
    <xf numFmtId="9" fontId="6" fillId="0" borderId="0" xfId="2" applyFont="1" applyBorder="1" applyAlignment="1">
      <alignment horizontal="justify" vertical="center" wrapText="1"/>
    </xf>
    <xf numFmtId="9" fontId="6" fillId="0" borderId="2" xfId="2" applyFont="1" applyBorder="1" applyAlignment="1">
      <alignment horizontal="justify" vertical="center" wrapText="1"/>
    </xf>
    <xf numFmtId="9" fontId="6" fillId="0" borderId="0" xfId="2" applyFont="1" applyBorder="1" applyAlignment="1">
      <alignment horizontal="left" vertical="center" wrapText="1"/>
    </xf>
    <xf numFmtId="9" fontId="6" fillId="0" borderId="2" xfId="2" applyFont="1" applyBorder="1" applyAlignment="1">
      <alignment horizontal="left" vertical="center" wrapText="1"/>
    </xf>
    <xf numFmtId="2" fontId="6" fillId="0" borderId="2" xfId="0" applyNumberFormat="1" applyFont="1" applyFill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19050</xdr:rowOff>
    </xdr:from>
    <xdr:to>
      <xdr:col>17</xdr:col>
      <xdr:colOff>19050</xdr:colOff>
      <xdr:row>8</xdr:row>
      <xdr:rowOff>144333</xdr:rowOff>
    </xdr:to>
    <xdr:grpSp>
      <xdr:nvGrpSpPr>
        <xdr:cNvPr id="4" name="Group 3"/>
        <xdr:cNvGrpSpPr/>
      </xdr:nvGrpSpPr>
      <xdr:grpSpPr>
        <a:xfrm>
          <a:off x="628650" y="209550"/>
          <a:ext cx="9753600" cy="1458783"/>
          <a:chOff x="619125" y="190500"/>
          <a:chExt cx="9753600" cy="1458783"/>
        </a:xfrm>
      </xdr:grpSpPr>
      <xdr:pic>
        <xdr:nvPicPr>
          <xdr:cNvPr id="3" name="Bild 8" descr="../Text_highlight.jpg"/>
          <xdr:cNvPicPr/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19125" y="190500"/>
            <a:ext cx="9753600" cy="1458783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2" name="Picture 1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981200" y="266701"/>
            <a:ext cx="6572250" cy="1286542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B16"/>
  <sheetViews>
    <sheetView tabSelected="1" workbookViewId="0">
      <selection activeCell="B22" sqref="B22"/>
    </sheetView>
  </sheetViews>
  <sheetFormatPr defaultRowHeight="15" x14ac:dyDescent="0.25"/>
  <sheetData>
    <row r="11" spans="2:2" x14ac:dyDescent="0.25">
      <c r="B11" s="1" t="s">
        <v>42</v>
      </c>
    </row>
    <row r="12" spans="2:2" x14ac:dyDescent="0.25">
      <c r="B12" t="s">
        <v>43</v>
      </c>
    </row>
    <row r="15" spans="2:2" x14ac:dyDescent="0.25">
      <c r="B15" s="43" t="s">
        <v>44</v>
      </c>
    </row>
    <row r="16" spans="2:2" x14ac:dyDescent="0.25">
      <c r="B16" t="s">
        <v>45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5"/>
  <sheetViews>
    <sheetView workbookViewId="0">
      <selection activeCell="D54" sqref="D54"/>
    </sheetView>
  </sheetViews>
  <sheetFormatPr defaultRowHeight="15" x14ac:dyDescent="0.25"/>
  <cols>
    <col min="2" max="2" width="42.42578125" customWidth="1"/>
    <col min="3" max="3" width="18.85546875" customWidth="1"/>
    <col min="4" max="6" width="23.7109375" customWidth="1"/>
    <col min="7" max="7" width="24.5703125" customWidth="1"/>
  </cols>
  <sheetData>
    <row r="1" spans="2:7" ht="15.75" thickBot="1" x14ac:dyDescent="0.3"/>
    <row r="2" spans="2:7" ht="15.75" thickBot="1" x14ac:dyDescent="0.3">
      <c r="B2" s="131" t="s">
        <v>78</v>
      </c>
      <c r="C2" s="132"/>
      <c r="D2" s="133"/>
      <c r="E2" s="53"/>
    </row>
    <row r="3" spans="2:7" ht="15.75" thickBot="1" x14ac:dyDescent="0.3"/>
    <row r="4" spans="2:7" x14ac:dyDescent="0.25">
      <c r="B4" s="134" t="s">
        <v>0</v>
      </c>
      <c r="C4" s="135"/>
      <c r="D4" s="136"/>
      <c r="E4" s="53"/>
    </row>
    <row r="5" spans="2:7" x14ac:dyDescent="0.25">
      <c r="B5" s="7" t="s">
        <v>1</v>
      </c>
      <c r="C5" s="8" t="s">
        <v>4</v>
      </c>
      <c r="D5" s="9" t="s">
        <v>5</v>
      </c>
      <c r="E5" s="54"/>
    </row>
    <row r="6" spans="2:7" x14ac:dyDescent="0.25">
      <c r="B6" s="69" t="s">
        <v>87</v>
      </c>
      <c r="C6" s="70" t="s">
        <v>88</v>
      </c>
      <c r="D6" s="77">
        <v>600</v>
      </c>
      <c r="E6" s="54"/>
    </row>
    <row r="7" spans="2:7" x14ac:dyDescent="0.25">
      <c r="B7" s="69" t="s">
        <v>89</v>
      </c>
      <c r="C7" s="70" t="s">
        <v>90</v>
      </c>
      <c r="D7" s="35">
        <v>3</v>
      </c>
      <c r="E7" s="54"/>
    </row>
    <row r="8" spans="2:7" x14ac:dyDescent="0.25">
      <c r="B8" s="3" t="s">
        <v>2</v>
      </c>
      <c r="C8" s="4" t="s">
        <v>6</v>
      </c>
      <c r="D8" s="35">
        <v>0.375</v>
      </c>
      <c r="E8" s="55"/>
    </row>
    <row r="9" spans="2:7" ht="15.75" thickBot="1" x14ac:dyDescent="0.3">
      <c r="B9" s="5" t="s">
        <v>3</v>
      </c>
      <c r="C9" s="24" t="s">
        <v>7</v>
      </c>
      <c r="D9" s="36">
        <v>110</v>
      </c>
      <c r="E9" s="55"/>
    </row>
    <row r="10" spans="2:7" ht="15.75" thickBot="1" x14ac:dyDescent="0.3"/>
    <row r="11" spans="2:7" x14ac:dyDescent="0.25">
      <c r="B11" s="134" t="s">
        <v>8</v>
      </c>
      <c r="C11" s="135"/>
      <c r="D11" s="136"/>
      <c r="E11" s="53"/>
    </row>
    <row r="12" spans="2:7" x14ac:dyDescent="0.25">
      <c r="B12" s="7" t="s">
        <v>1</v>
      </c>
      <c r="C12" s="8" t="s">
        <v>4</v>
      </c>
      <c r="D12" s="9" t="s">
        <v>5</v>
      </c>
      <c r="E12" s="54"/>
      <c r="G12" s="127"/>
    </row>
    <row r="13" spans="2:7" x14ac:dyDescent="0.25">
      <c r="B13" s="3" t="s">
        <v>79</v>
      </c>
      <c r="C13" s="4" t="s">
        <v>38</v>
      </c>
      <c r="D13" s="39">
        <v>1.3</v>
      </c>
      <c r="E13" s="59"/>
    </row>
    <row r="14" spans="2:7" x14ac:dyDescent="0.25">
      <c r="B14" s="3" t="s">
        <v>80</v>
      </c>
      <c r="C14" s="21" t="s">
        <v>37</v>
      </c>
      <c r="D14" s="44">
        <v>20</v>
      </c>
      <c r="E14" s="59"/>
    </row>
    <row r="15" spans="2:7" x14ac:dyDescent="0.25">
      <c r="B15" s="3" t="s">
        <v>13</v>
      </c>
      <c r="C15" s="21" t="s">
        <v>14</v>
      </c>
      <c r="D15" s="35">
        <v>7.2</v>
      </c>
      <c r="E15" s="55"/>
    </row>
    <row r="16" spans="2:7" ht="15.75" thickBot="1" x14ac:dyDescent="0.3">
      <c r="B16" s="23" t="s">
        <v>11</v>
      </c>
      <c r="C16" s="6" t="s">
        <v>12</v>
      </c>
      <c r="D16" s="51">
        <v>0.25</v>
      </c>
      <c r="E16" s="110"/>
    </row>
    <row r="17" spans="2:8" ht="15.75" thickBot="1" x14ac:dyDescent="0.3"/>
    <row r="18" spans="2:8" ht="15" customHeight="1" x14ac:dyDescent="0.25">
      <c r="B18" s="137" t="s">
        <v>15</v>
      </c>
      <c r="C18" s="138"/>
      <c r="D18" s="139"/>
      <c r="E18" s="58"/>
    </row>
    <row r="19" spans="2:8" x14ac:dyDescent="0.25">
      <c r="B19" s="45" t="s">
        <v>16</v>
      </c>
      <c r="C19" s="46" t="s">
        <v>4</v>
      </c>
      <c r="D19" s="47" t="s">
        <v>5</v>
      </c>
      <c r="E19" s="15"/>
      <c r="F19" s="140"/>
      <c r="H19" s="34"/>
    </row>
    <row r="20" spans="2:8" x14ac:dyDescent="0.25">
      <c r="B20" s="11" t="s">
        <v>82</v>
      </c>
      <c r="C20" s="10" t="s">
        <v>17</v>
      </c>
      <c r="D20" s="39">
        <v>1</v>
      </c>
      <c r="E20" s="59"/>
    </row>
    <row r="21" spans="2:8" x14ac:dyDescent="0.25">
      <c r="B21" s="11" t="s">
        <v>99</v>
      </c>
      <c r="C21" s="10" t="s">
        <v>17</v>
      </c>
      <c r="D21" s="39">
        <v>0.6</v>
      </c>
      <c r="E21" s="59"/>
    </row>
    <row r="22" spans="2:8" ht="15.75" thickBot="1" x14ac:dyDescent="0.3">
      <c r="B22" s="17" t="s">
        <v>84</v>
      </c>
      <c r="C22" s="18" t="s">
        <v>17</v>
      </c>
      <c r="D22" s="40">
        <v>0.4</v>
      </c>
      <c r="E22" s="59"/>
      <c r="H22" s="34"/>
    </row>
    <row r="23" spans="2:8" ht="15.75" thickBot="1" x14ac:dyDescent="0.3"/>
    <row r="24" spans="2:8" ht="15" customHeight="1" x14ac:dyDescent="0.25">
      <c r="B24" s="128" t="s">
        <v>91</v>
      </c>
      <c r="C24" s="129"/>
      <c r="D24" s="129"/>
      <c r="E24" s="129"/>
      <c r="F24" s="130"/>
    </row>
    <row r="25" spans="2:8" x14ac:dyDescent="0.25">
      <c r="B25" s="19" t="s">
        <v>18</v>
      </c>
      <c r="C25" s="20" t="s">
        <v>4</v>
      </c>
      <c r="D25" s="31" t="s">
        <v>82</v>
      </c>
      <c r="E25" s="31" t="s">
        <v>99</v>
      </c>
      <c r="F25" s="32" t="s">
        <v>84</v>
      </c>
    </row>
    <row r="26" spans="2:8" x14ac:dyDescent="0.25">
      <c r="B26" s="11" t="s">
        <v>30</v>
      </c>
      <c r="C26" s="10" t="s">
        <v>19</v>
      </c>
      <c r="D26" s="30">
        <f>$D$13/$D$14*$D$9</f>
        <v>7.15</v>
      </c>
      <c r="E26" s="30">
        <f>$D$13/$D$14*$D$9</f>
        <v>7.15</v>
      </c>
      <c r="F26" s="26">
        <f>$D$13/$D$14*$D$9</f>
        <v>7.15</v>
      </c>
    </row>
    <row r="27" spans="2:8" x14ac:dyDescent="0.25">
      <c r="B27" s="11" t="s">
        <v>31</v>
      </c>
      <c r="C27" s="10" t="s">
        <v>19</v>
      </c>
      <c r="D27" s="30">
        <f>D20*$D$8</f>
        <v>0.375</v>
      </c>
      <c r="E27" s="30">
        <f>D21*$D$8</f>
        <v>0.22499999999999998</v>
      </c>
      <c r="F27" s="26">
        <f>D22*$D$8</f>
        <v>0.15000000000000002</v>
      </c>
      <c r="H27" s="34"/>
    </row>
    <row r="28" spans="2:8" x14ac:dyDescent="0.25">
      <c r="B28" s="11" t="s">
        <v>32</v>
      </c>
      <c r="C28" s="10" t="s">
        <v>19</v>
      </c>
      <c r="D28" s="30">
        <f>D26-D27</f>
        <v>6.7750000000000004</v>
      </c>
      <c r="E28" s="30">
        <f t="shared" ref="E28:F28" si="0">E26-E27</f>
        <v>6.9250000000000007</v>
      </c>
      <c r="F28" s="26">
        <f t="shared" si="0"/>
        <v>7</v>
      </c>
      <c r="H28" s="34"/>
    </row>
    <row r="29" spans="2:8" ht="15.75" thickBot="1" x14ac:dyDescent="0.3">
      <c r="B29" s="17" t="s">
        <v>33</v>
      </c>
      <c r="C29" s="18" t="s">
        <v>20</v>
      </c>
      <c r="D29" s="33">
        <f>D28*$D$15</f>
        <v>48.78</v>
      </c>
      <c r="E29" s="33">
        <f t="shared" ref="E29:F29" si="1">E28*$D$15</f>
        <v>49.860000000000007</v>
      </c>
      <c r="F29" s="29">
        <f t="shared" si="1"/>
        <v>50.4</v>
      </c>
      <c r="H29" s="34"/>
    </row>
    <row r="30" spans="2:8" ht="15.75" thickBot="1" x14ac:dyDescent="0.3">
      <c r="H30" s="34"/>
    </row>
    <row r="31" spans="2:8" x14ac:dyDescent="0.25">
      <c r="B31" s="128" t="s">
        <v>100</v>
      </c>
      <c r="C31" s="129"/>
      <c r="D31" s="129"/>
      <c r="E31" s="129"/>
      <c r="F31" s="130"/>
    </row>
    <row r="32" spans="2:8" x14ac:dyDescent="0.25">
      <c r="B32" s="19" t="s">
        <v>18</v>
      </c>
      <c r="C32" s="20" t="s">
        <v>4</v>
      </c>
      <c r="D32" s="31" t="s">
        <v>82</v>
      </c>
      <c r="E32" s="31" t="s">
        <v>99</v>
      </c>
      <c r="F32" s="32" t="s">
        <v>84</v>
      </c>
    </row>
    <row r="33" spans="2:6" x14ac:dyDescent="0.25">
      <c r="B33" s="11" t="s">
        <v>97</v>
      </c>
      <c r="C33" s="73" t="s">
        <v>93</v>
      </c>
      <c r="D33" s="97">
        <f>D26*$D$15*$D$16*365</f>
        <v>4697.55</v>
      </c>
      <c r="E33" s="97">
        <f t="shared" ref="E33:F33" si="2">E26*$D$15*$D$16*365</f>
        <v>4697.55</v>
      </c>
      <c r="F33" s="105">
        <f t="shared" si="2"/>
        <v>4697.55</v>
      </c>
    </row>
    <row r="34" spans="2:6" x14ac:dyDescent="0.25">
      <c r="B34" s="11" t="s">
        <v>92</v>
      </c>
      <c r="C34" s="10" t="s">
        <v>93</v>
      </c>
      <c r="D34" s="98">
        <f>D29*365*$D$16</f>
        <v>4451.1750000000002</v>
      </c>
      <c r="E34" s="98">
        <f t="shared" ref="E34:F34" si="3">E29*365*$D$16</f>
        <v>4549.7250000000004</v>
      </c>
      <c r="F34" s="99">
        <f t="shared" si="3"/>
        <v>4599</v>
      </c>
    </row>
    <row r="35" spans="2:6" x14ac:dyDescent="0.25">
      <c r="B35" s="11" t="s">
        <v>95</v>
      </c>
      <c r="C35" s="10" t="s">
        <v>10</v>
      </c>
      <c r="D35" s="98">
        <f>$D$6/$D$7</f>
        <v>200</v>
      </c>
      <c r="E35" s="98">
        <f t="shared" ref="E35:F35" si="4">$D$6/$D$7</f>
        <v>200</v>
      </c>
      <c r="F35" s="99">
        <f t="shared" si="4"/>
        <v>200</v>
      </c>
    </row>
    <row r="36" spans="2:6" x14ac:dyDescent="0.25">
      <c r="B36" s="11" t="s">
        <v>94</v>
      </c>
      <c r="C36" s="10" t="s">
        <v>10</v>
      </c>
      <c r="D36" s="100">
        <f>D34-D35</f>
        <v>4251.1750000000002</v>
      </c>
      <c r="E36" s="100">
        <f t="shared" ref="E36:F36" si="5">E34-E35</f>
        <v>4349.7250000000004</v>
      </c>
      <c r="F36" s="101">
        <f t="shared" si="5"/>
        <v>4399</v>
      </c>
    </row>
    <row r="37" spans="2:6" x14ac:dyDescent="0.25">
      <c r="B37" s="11" t="s">
        <v>96</v>
      </c>
      <c r="C37" s="10" t="s">
        <v>12</v>
      </c>
      <c r="D37" s="102">
        <f>D36/D33</f>
        <v>0.90497706251130905</v>
      </c>
      <c r="E37" s="102">
        <f>E36/E33</f>
        <v>0.9259560834903301</v>
      </c>
      <c r="F37" s="103">
        <f>F36/F33</f>
        <v>0.93644559397984051</v>
      </c>
    </row>
    <row r="38" spans="2:6" ht="15.75" thickBot="1" x14ac:dyDescent="0.3">
      <c r="B38" s="81" t="s">
        <v>98</v>
      </c>
      <c r="C38" s="82" t="s">
        <v>12</v>
      </c>
      <c r="D38" s="85">
        <f>D35/D34</f>
        <v>4.4931956168876755E-2</v>
      </c>
      <c r="E38" s="85">
        <f t="shared" ref="E38:F38" si="6">E35/E34</f>
        <v>4.3958700800597834E-2</v>
      </c>
      <c r="F38" s="86">
        <f t="shared" si="6"/>
        <v>4.3487714720591431E-2</v>
      </c>
    </row>
    <row r="39" spans="2:6" ht="15.75" thickBot="1" x14ac:dyDescent="0.3"/>
    <row r="40" spans="2:6" x14ac:dyDescent="0.25">
      <c r="B40" s="128" t="s">
        <v>143</v>
      </c>
      <c r="C40" s="129"/>
      <c r="D40" s="130"/>
    </row>
    <row r="41" spans="2:6" x14ac:dyDescent="0.25">
      <c r="B41" s="19" t="s">
        <v>18</v>
      </c>
      <c r="C41" s="20" t="s">
        <v>4</v>
      </c>
      <c r="D41" s="32" t="s">
        <v>5</v>
      </c>
    </row>
    <row r="42" spans="2:6" x14ac:dyDescent="0.25">
      <c r="B42" s="11" t="s">
        <v>150</v>
      </c>
      <c r="C42" s="10" t="s">
        <v>139</v>
      </c>
      <c r="D42" s="35">
        <v>360</v>
      </c>
    </row>
    <row r="43" spans="2:6" x14ac:dyDescent="0.25">
      <c r="B43" s="11" t="s">
        <v>134</v>
      </c>
      <c r="C43" s="10" t="s">
        <v>136</v>
      </c>
      <c r="D43" s="35">
        <v>2</v>
      </c>
    </row>
    <row r="44" spans="2:6" x14ac:dyDescent="0.25">
      <c r="B44" s="11" t="s">
        <v>135</v>
      </c>
      <c r="C44" s="10" t="s">
        <v>137</v>
      </c>
      <c r="D44" s="35">
        <v>100</v>
      </c>
    </row>
    <row r="45" spans="2:6" x14ac:dyDescent="0.25">
      <c r="B45" s="11" t="s">
        <v>140</v>
      </c>
      <c r="C45" s="10" t="s">
        <v>141</v>
      </c>
      <c r="D45" s="65">
        <f>12*D16*30</f>
        <v>90</v>
      </c>
    </row>
    <row r="46" spans="2:6" x14ac:dyDescent="0.25">
      <c r="B46" s="11" t="s">
        <v>3</v>
      </c>
      <c r="C46" s="10" t="s">
        <v>7</v>
      </c>
      <c r="D46" s="106">
        <f>D9</f>
        <v>110</v>
      </c>
    </row>
    <row r="47" spans="2:6" ht="15.75" thickBot="1" x14ac:dyDescent="0.3">
      <c r="B47" s="17" t="s">
        <v>142</v>
      </c>
      <c r="C47" s="18" t="s">
        <v>14</v>
      </c>
      <c r="D47" s="141">
        <f>D42*D43*D44/D45/D46</f>
        <v>7.2727272727272725</v>
      </c>
    </row>
    <row r="48" spans="2:6" ht="15.75" thickBot="1" x14ac:dyDescent="0.3"/>
    <row r="49" spans="2:6" x14ac:dyDescent="0.25">
      <c r="B49" s="128" t="s">
        <v>103</v>
      </c>
      <c r="C49" s="129"/>
      <c r="D49" s="129"/>
      <c r="E49" s="129"/>
      <c r="F49" s="130"/>
    </row>
    <row r="50" spans="2:6" x14ac:dyDescent="0.25">
      <c r="B50" s="19" t="s">
        <v>18</v>
      </c>
      <c r="C50" s="20" t="s">
        <v>4</v>
      </c>
      <c r="D50" s="31" t="s">
        <v>82</v>
      </c>
      <c r="E50" s="31" t="s">
        <v>99</v>
      </c>
      <c r="F50" s="32" t="s">
        <v>84</v>
      </c>
    </row>
    <row r="51" spans="2:6" x14ac:dyDescent="0.25">
      <c r="B51" s="11" t="s">
        <v>158</v>
      </c>
      <c r="C51" s="73" t="s">
        <v>10</v>
      </c>
      <c r="D51" s="72">
        <f>$D$13/$D$14</f>
        <v>6.5000000000000002E-2</v>
      </c>
      <c r="E51" s="72">
        <f t="shared" ref="E51:F51" si="7">$D$13/$D$14</f>
        <v>6.5000000000000002E-2</v>
      </c>
      <c r="F51" s="78">
        <f t="shared" si="7"/>
        <v>6.5000000000000002E-2</v>
      </c>
    </row>
    <row r="52" spans="2:6" ht="15" customHeight="1" x14ac:dyDescent="0.25">
      <c r="B52" s="11" t="s">
        <v>157</v>
      </c>
      <c r="C52" s="10" t="s">
        <v>10</v>
      </c>
      <c r="D52" s="100">
        <f>D26/$D$9</f>
        <v>6.5000000000000002E-2</v>
      </c>
      <c r="E52" s="100">
        <f>E26/$D$9</f>
        <v>6.5000000000000002E-2</v>
      </c>
      <c r="F52" s="101">
        <f>F26/$D$9</f>
        <v>6.5000000000000002E-2</v>
      </c>
    </row>
    <row r="53" spans="2:6" ht="15" customHeight="1" x14ac:dyDescent="0.25">
      <c r="B53" s="11" t="s">
        <v>156</v>
      </c>
      <c r="C53" s="10" t="s">
        <v>12</v>
      </c>
      <c r="D53" s="146">
        <f>1/3</f>
        <v>0.33333333333333331</v>
      </c>
      <c r="E53" s="146">
        <f t="shared" ref="E53:F53" si="8">1/3</f>
        <v>0.33333333333333331</v>
      </c>
      <c r="F53" s="147">
        <f t="shared" si="8"/>
        <v>0.33333333333333331</v>
      </c>
    </row>
    <row r="54" spans="2:6" ht="15" customHeight="1" x14ac:dyDescent="0.25">
      <c r="B54" s="11" t="s">
        <v>159</v>
      </c>
      <c r="C54" s="10" t="s">
        <v>160</v>
      </c>
      <c r="D54" s="98">
        <f>D51/D53*1000</f>
        <v>195</v>
      </c>
      <c r="E54" s="98">
        <f t="shared" ref="E54:F54" si="9">E51/E53*1000</f>
        <v>195</v>
      </c>
      <c r="F54" s="99">
        <f t="shared" si="9"/>
        <v>195</v>
      </c>
    </row>
    <row r="55" spans="2:6" ht="15.75" thickBot="1" x14ac:dyDescent="0.3">
      <c r="B55" s="5" t="s">
        <v>151</v>
      </c>
      <c r="C55" s="6" t="s">
        <v>152</v>
      </c>
      <c r="D55" s="142">
        <f>D52*$D$42</f>
        <v>23.400000000000002</v>
      </c>
      <c r="E55" s="142">
        <f t="shared" ref="E55:F55" si="10">E52*$D$42</f>
        <v>23.400000000000002</v>
      </c>
      <c r="F55" s="143">
        <f t="shared" si="10"/>
        <v>23.400000000000002</v>
      </c>
    </row>
  </sheetData>
  <mergeCells count="8">
    <mergeCell ref="B49:F49"/>
    <mergeCell ref="B40:D40"/>
    <mergeCell ref="B31:F31"/>
    <mergeCell ref="B24:F24"/>
    <mergeCell ref="B2:D2"/>
    <mergeCell ref="B4:D4"/>
    <mergeCell ref="B11:D11"/>
    <mergeCell ref="B18:D1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5"/>
  <sheetViews>
    <sheetView topLeftCell="A14" workbookViewId="0">
      <selection activeCell="E22" sqref="E22"/>
    </sheetView>
  </sheetViews>
  <sheetFormatPr defaultRowHeight="15" x14ac:dyDescent="0.25"/>
  <cols>
    <col min="2" max="2" width="43.7109375" customWidth="1"/>
    <col min="3" max="3" width="13.85546875" customWidth="1"/>
    <col min="4" max="6" width="30.28515625" customWidth="1"/>
  </cols>
  <sheetData>
    <row r="1" spans="2:6" ht="15.75" thickBot="1" x14ac:dyDescent="0.3"/>
    <row r="2" spans="2:6" ht="15.75" thickBot="1" x14ac:dyDescent="0.3">
      <c r="B2" s="131" t="s">
        <v>34</v>
      </c>
      <c r="C2" s="132"/>
      <c r="D2" s="133"/>
    </row>
    <row r="3" spans="2:6" ht="15.75" thickBot="1" x14ac:dyDescent="0.3"/>
    <row r="4" spans="2:6" x14ac:dyDescent="0.25">
      <c r="B4" s="134" t="s">
        <v>0</v>
      </c>
      <c r="C4" s="135"/>
      <c r="D4" s="136"/>
    </row>
    <row r="5" spans="2:6" x14ac:dyDescent="0.25">
      <c r="B5" s="7" t="s">
        <v>1</v>
      </c>
      <c r="C5" s="8" t="s">
        <v>4</v>
      </c>
      <c r="D5" s="9" t="s">
        <v>5</v>
      </c>
    </row>
    <row r="6" spans="2:6" x14ac:dyDescent="0.25">
      <c r="B6" s="69" t="s">
        <v>87</v>
      </c>
      <c r="C6" s="70" t="s">
        <v>88</v>
      </c>
      <c r="D6" s="77">
        <v>500</v>
      </c>
    </row>
    <row r="7" spans="2:6" x14ac:dyDescent="0.25">
      <c r="B7" s="69" t="s">
        <v>89</v>
      </c>
      <c r="C7" s="70" t="s">
        <v>90</v>
      </c>
      <c r="D7" s="35">
        <v>3</v>
      </c>
      <c r="F7" s="126"/>
    </row>
    <row r="8" spans="2:6" x14ac:dyDescent="0.25">
      <c r="B8" s="3" t="s">
        <v>2</v>
      </c>
      <c r="C8" s="4" t="s">
        <v>6</v>
      </c>
      <c r="D8" s="35">
        <v>0.75</v>
      </c>
    </row>
    <row r="9" spans="2:6" ht="15.75" thickBot="1" x14ac:dyDescent="0.3">
      <c r="B9" s="5" t="s">
        <v>3</v>
      </c>
      <c r="C9" s="6" t="s">
        <v>7</v>
      </c>
      <c r="D9" s="36">
        <v>1200</v>
      </c>
    </row>
    <row r="10" spans="2:6" ht="15.75" thickBot="1" x14ac:dyDescent="0.3"/>
    <row r="11" spans="2:6" x14ac:dyDescent="0.25">
      <c r="B11" s="134" t="s">
        <v>8</v>
      </c>
      <c r="C11" s="135"/>
      <c r="D11" s="136"/>
    </row>
    <row r="12" spans="2:6" x14ac:dyDescent="0.25">
      <c r="B12" s="7" t="s">
        <v>1</v>
      </c>
      <c r="C12" s="8" t="s">
        <v>4</v>
      </c>
      <c r="D12" s="9" t="s">
        <v>5</v>
      </c>
    </row>
    <row r="13" spans="2:6" x14ac:dyDescent="0.25">
      <c r="B13" s="3" t="s">
        <v>35</v>
      </c>
      <c r="C13" s="4" t="s">
        <v>37</v>
      </c>
      <c r="D13" s="35">
        <v>15</v>
      </c>
    </row>
    <row r="14" spans="2:6" x14ac:dyDescent="0.25">
      <c r="B14" s="3" t="s">
        <v>36</v>
      </c>
      <c r="C14" s="4" t="s">
        <v>38</v>
      </c>
      <c r="D14" s="37">
        <v>4.2999999999999997E-2</v>
      </c>
    </row>
    <row r="15" spans="2:6" x14ac:dyDescent="0.25">
      <c r="B15" s="22" t="s">
        <v>13</v>
      </c>
      <c r="C15" s="4" t="s">
        <v>14</v>
      </c>
      <c r="D15" s="41">
        <v>1.1000000000000001</v>
      </c>
    </row>
    <row r="16" spans="2:6" ht="15.75" thickBot="1" x14ac:dyDescent="0.3">
      <c r="B16" s="23" t="s">
        <v>11</v>
      </c>
      <c r="C16" s="6" t="s">
        <v>12</v>
      </c>
      <c r="D16" s="25">
        <v>0.5</v>
      </c>
    </row>
    <row r="17" spans="2:7" ht="15.75" thickBot="1" x14ac:dyDescent="0.3"/>
    <row r="18" spans="2:7" x14ac:dyDescent="0.25">
      <c r="B18" s="137" t="s">
        <v>15</v>
      </c>
      <c r="C18" s="138"/>
      <c r="D18" s="139"/>
    </row>
    <row r="19" spans="2:7" x14ac:dyDescent="0.25">
      <c r="B19" s="14" t="s">
        <v>16</v>
      </c>
      <c r="C19" s="15" t="s">
        <v>4</v>
      </c>
      <c r="D19" s="16" t="s">
        <v>5</v>
      </c>
      <c r="G19" s="34"/>
    </row>
    <row r="20" spans="2:7" x14ac:dyDescent="0.25">
      <c r="B20" s="11" t="s">
        <v>82</v>
      </c>
      <c r="C20" s="10" t="s">
        <v>17</v>
      </c>
      <c r="D20" s="39">
        <v>1</v>
      </c>
    </row>
    <row r="21" spans="2:7" x14ac:dyDescent="0.25">
      <c r="B21" s="11" t="s">
        <v>99</v>
      </c>
      <c r="C21" s="10" t="s">
        <v>17</v>
      </c>
      <c r="D21" s="39">
        <v>0.6</v>
      </c>
    </row>
    <row r="22" spans="2:7" ht="15.75" thickBot="1" x14ac:dyDescent="0.3">
      <c r="B22" s="17" t="s">
        <v>84</v>
      </c>
      <c r="C22" s="18" t="s">
        <v>17</v>
      </c>
      <c r="D22" s="40">
        <v>0.4</v>
      </c>
      <c r="G22" s="34"/>
    </row>
    <row r="23" spans="2:7" ht="15.75" thickBot="1" x14ac:dyDescent="0.3"/>
    <row r="24" spans="2:7" ht="15" customHeight="1" x14ac:dyDescent="0.25">
      <c r="B24" s="128" t="s">
        <v>91</v>
      </c>
      <c r="C24" s="129"/>
      <c r="D24" s="129"/>
      <c r="E24" s="129"/>
      <c r="F24" s="130"/>
    </row>
    <row r="25" spans="2:7" x14ac:dyDescent="0.25">
      <c r="B25" s="19" t="s">
        <v>18</v>
      </c>
      <c r="C25" s="20" t="s">
        <v>4</v>
      </c>
      <c r="D25" s="31" t="s">
        <v>82</v>
      </c>
      <c r="E25" s="31" t="s">
        <v>99</v>
      </c>
      <c r="F25" s="32" t="s">
        <v>84</v>
      </c>
    </row>
    <row r="26" spans="2:7" x14ac:dyDescent="0.25">
      <c r="B26" s="11" t="s">
        <v>30</v>
      </c>
      <c r="C26" s="10" t="s">
        <v>19</v>
      </c>
      <c r="D26" s="30">
        <f>$D$14/$D$13*$D$9</f>
        <v>3.4399999999999995</v>
      </c>
      <c r="E26" s="30">
        <f t="shared" ref="E26:F26" si="0">$D$14/$D$13*$D$9</f>
        <v>3.4399999999999995</v>
      </c>
      <c r="F26" s="26">
        <f t="shared" si="0"/>
        <v>3.4399999999999995</v>
      </c>
    </row>
    <row r="27" spans="2:7" x14ac:dyDescent="0.25">
      <c r="B27" s="11" t="s">
        <v>31</v>
      </c>
      <c r="C27" s="10" t="s">
        <v>19</v>
      </c>
      <c r="D27" s="30">
        <f>D20*$D$8</f>
        <v>0.75</v>
      </c>
      <c r="E27" s="30">
        <f>D21*$D$8</f>
        <v>0.44999999999999996</v>
      </c>
      <c r="F27" s="26">
        <f>D22*$D$8</f>
        <v>0.30000000000000004</v>
      </c>
    </row>
    <row r="28" spans="2:7" x14ac:dyDescent="0.25">
      <c r="B28" s="11" t="s">
        <v>32</v>
      </c>
      <c r="C28" s="10" t="s">
        <v>19</v>
      </c>
      <c r="D28" s="30">
        <f>D26-D27</f>
        <v>2.6899999999999995</v>
      </c>
      <c r="E28" s="30">
        <f t="shared" ref="E28:F28" si="1">E26-E27</f>
        <v>2.9899999999999993</v>
      </c>
      <c r="F28" s="26">
        <f t="shared" si="1"/>
        <v>3.1399999999999997</v>
      </c>
    </row>
    <row r="29" spans="2:7" ht="15.75" thickBot="1" x14ac:dyDescent="0.3">
      <c r="B29" s="17" t="s">
        <v>33</v>
      </c>
      <c r="C29" s="18" t="s">
        <v>20</v>
      </c>
      <c r="D29" s="33">
        <f>D28*$D$15</f>
        <v>2.9589999999999996</v>
      </c>
      <c r="E29" s="33">
        <f t="shared" ref="E29:F29" si="2">E28*$D$15</f>
        <v>3.2889999999999997</v>
      </c>
      <c r="F29" s="29">
        <f t="shared" si="2"/>
        <v>3.4539999999999997</v>
      </c>
    </row>
    <row r="30" spans="2:7" ht="15.75" thickBot="1" x14ac:dyDescent="0.3"/>
    <row r="31" spans="2:7" x14ac:dyDescent="0.25">
      <c r="B31" s="128" t="s">
        <v>100</v>
      </c>
      <c r="C31" s="129"/>
      <c r="D31" s="129"/>
      <c r="E31" s="129"/>
      <c r="F31" s="130"/>
    </row>
    <row r="32" spans="2:7" x14ac:dyDescent="0.25">
      <c r="B32" s="19" t="s">
        <v>18</v>
      </c>
      <c r="C32" s="20" t="s">
        <v>4</v>
      </c>
      <c r="D32" s="31" t="s">
        <v>82</v>
      </c>
      <c r="E32" s="31" t="s">
        <v>99</v>
      </c>
      <c r="F32" s="32" t="s">
        <v>84</v>
      </c>
    </row>
    <row r="33" spans="2:6" x14ac:dyDescent="0.25">
      <c r="B33" s="11" t="s">
        <v>97</v>
      </c>
      <c r="C33" s="73" t="s">
        <v>93</v>
      </c>
      <c r="D33" s="72">
        <f>D26*$D$15*$D$16*365</f>
        <v>690.57999999999993</v>
      </c>
      <c r="E33" s="72">
        <f t="shared" ref="E33:F33" si="3">E26*$D$15*$D$16*365</f>
        <v>690.57999999999993</v>
      </c>
      <c r="F33" s="78">
        <f t="shared" si="3"/>
        <v>690.57999999999993</v>
      </c>
    </row>
    <row r="34" spans="2:6" x14ac:dyDescent="0.25">
      <c r="B34" s="11" t="s">
        <v>92</v>
      </c>
      <c r="C34" s="10" t="s">
        <v>93</v>
      </c>
      <c r="D34" s="30">
        <f>D29*365*$D$16</f>
        <v>540.01749999999993</v>
      </c>
      <c r="E34" s="30">
        <f t="shared" ref="E34:F34" si="4">E29*365*$D$16</f>
        <v>600.24249999999995</v>
      </c>
      <c r="F34" s="26">
        <f t="shared" si="4"/>
        <v>630.3549999999999</v>
      </c>
    </row>
    <row r="35" spans="2:6" ht="30" x14ac:dyDescent="0.25">
      <c r="B35" s="11" t="s">
        <v>95</v>
      </c>
      <c r="C35" s="10" t="s">
        <v>10</v>
      </c>
      <c r="D35" s="30">
        <f>$D$6/$D$7</f>
        <v>166.66666666666666</v>
      </c>
      <c r="E35" s="30">
        <f t="shared" ref="E35:F35" si="5">$D$6/$D$7</f>
        <v>166.66666666666666</v>
      </c>
      <c r="F35" s="26">
        <f t="shared" si="5"/>
        <v>166.66666666666666</v>
      </c>
    </row>
    <row r="36" spans="2:6" x14ac:dyDescent="0.25">
      <c r="B36" s="11" t="s">
        <v>94</v>
      </c>
      <c r="C36" s="10" t="s">
        <v>10</v>
      </c>
      <c r="D36" s="52">
        <f>D34-D35</f>
        <v>373.3508333333333</v>
      </c>
      <c r="E36" s="52">
        <f t="shared" ref="E36:F36" si="6">E34-E35</f>
        <v>433.57583333333332</v>
      </c>
      <c r="F36" s="79">
        <f t="shared" si="6"/>
        <v>463.68833333333328</v>
      </c>
    </row>
    <row r="37" spans="2:6" x14ac:dyDescent="0.25">
      <c r="B37" s="11" t="s">
        <v>96</v>
      </c>
      <c r="C37" s="10" t="s">
        <v>12</v>
      </c>
      <c r="D37" s="74">
        <f>D36/D33</f>
        <v>0.54063371851680231</v>
      </c>
      <c r="E37" s="74">
        <f>E36/E33</f>
        <v>0.62784302084238375</v>
      </c>
      <c r="F37" s="80">
        <f>F36/F33</f>
        <v>0.67144767200517441</v>
      </c>
    </row>
    <row r="38" spans="2:6" ht="15.75" thickBot="1" x14ac:dyDescent="0.3">
      <c r="B38" s="81" t="s">
        <v>98</v>
      </c>
      <c r="C38" s="82" t="s">
        <v>12</v>
      </c>
      <c r="D38" s="83">
        <f>D35/D34</f>
        <v>0.3086319733465428</v>
      </c>
      <c r="E38" s="83">
        <f t="shared" ref="E38:F38" si="7">E35/E34</f>
        <v>0.27766555461612041</v>
      </c>
      <c r="F38" s="84">
        <f t="shared" si="7"/>
        <v>0.26440127652936313</v>
      </c>
    </row>
    <row r="39" spans="2:6" ht="15.75" thickBot="1" x14ac:dyDescent="0.3"/>
    <row r="40" spans="2:6" x14ac:dyDescent="0.25">
      <c r="B40" s="128" t="s">
        <v>143</v>
      </c>
      <c r="C40" s="129"/>
      <c r="D40" s="130"/>
    </row>
    <row r="41" spans="2:6" x14ac:dyDescent="0.25">
      <c r="B41" s="19" t="s">
        <v>18</v>
      </c>
      <c r="C41" s="20" t="s">
        <v>4</v>
      </c>
      <c r="D41" s="32" t="s">
        <v>5</v>
      </c>
    </row>
    <row r="42" spans="2:6" x14ac:dyDescent="0.25">
      <c r="B42" s="11" t="s">
        <v>144</v>
      </c>
      <c r="C42" s="10" t="s">
        <v>139</v>
      </c>
      <c r="D42" s="35">
        <v>1200</v>
      </c>
    </row>
    <row r="43" spans="2:6" x14ac:dyDescent="0.25">
      <c r="B43" s="11" t="s">
        <v>134</v>
      </c>
      <c r="C43" s="10" t="s">
        <v>136</v>
      </c>
      <c r="D43" s="35">
        <v>2</v>
      </c>
    </row>
    <row r="44" spans="2:6" x14ac:dyDescent="0.25">
      <c r="B44" s="11" t="s">
        <v>135</v>
      </c>
      <c r="C44" s="10" t="s">
        <v>137</v>
      </c>
      <c r="D44" s="35">
        <v>100</v>
      </c>
    </row>
    <row r="45" spans="2:6" x14ac:dyDescent="0.25">
      <c r="B45" s="11" t="s">
        <v>140</v>
      </c>
      <c r="C45" s="10" t="s">
        <v>141</v>
      </c>
      <c r="D45" s="65">
        <f>12*D16*30</f>
        <v>180</v>
      </c>
    </row>
    <row r="46" spans="2:6" x14ac:dyDescent="0.25">
      <c r="B46" s="11" t="s">
        <v>3</v>
      </c>
      <c r="C46" s="10" t="s">
        <v>7</v>
      </c>
      <c r="D46" s="65">
        <f>D9</f>
        <v>1200</v>
      </c>
    </row>
    <row r="47" spans="2:6" ht="15.75" thickBot="1" x14ac:dyDescent="0.3">
      <c r="B47" s="17" t="s">
        <v>142</v>
      </c>
      <c r="C47" s="18" t="s">
        <v>14</v>
      </c>
      <c r="D47" s="141">
        <f>D42*D43*D44/D45/D46</f>
        <v>1.1111111111111109</v>
      </c>
    </row>
    <row r="48" spans="2:6" ht="15.75" thickBot="1" x14ac:dyDescent="0.3"/>
    <row r="49" spans="2:6" x14ac:dyDescent="0.25">
      <c r="B49" s="128" t="s">
        <v>108</v>
      </c>
      <c r="C49" s="129"/>
      <c r="D49" s="129"/>
      <c r="E49" s="129"/>
      <c r="F49" s="130"/>
    </row>
    <row r="50" spans="2:6" x14ac:dyDescent="0.25">
      <c r="B50" s="19" t="s">
        <v>18</v>
      </c>
      <c r="C50" s="20" t="s">
        <v>4</v>
      </c>
      <c r="D50" s="31" t="s">
        <v>82</v>
      </c>
      <c r="E50" s="31" t="s">
        <v>99</v>
      </c>
      <c r="F50" s="32" t="s">
        <v>84</v>
      </c>
    </row>
    <row r="51" spans="2:6" x14ac:dyDescent="0.25">
      <c r="B51" s="11" t="s">
        <v>104</v>
      </c>
      <c r="C51" s="10" t="s">
        <v>10</v>
      </c>
      <c r="D51" s="52">
        <f>D26/$D$9</f>
        <v>2.8666666666666662E-3</v>
      </c>
      <c r="E51" s="52">
        <f t="shared" ref="E51:F52" si="8">E26/$D$9</f>
        <v>2.8666666666666662E-3</v>
      </c>
      <c r="F51" s="79">
        <f t="shared" si="8"/>
        <v>2.8666666666666662E-3</v>
      </c>
    </row>
    <row r="52" spans="2:6" x14ac:dyDescent="0.25">
      <c r="B52" s="11" t="s">
        <v>105</v>
      </c>
      <c r="C52" s="10" t="s">
        <v>10</v>
      </c>
      <c r="D52" s="52">
        <f>D27/$D$9</f>
        <v>6.2500000000000001E-4</v>
      </c>
      <c r="E52" s="52">
        <f t="shared" si="8"/>
        <v>3.7499999999999995E-4</v>
      </c>
      <c r="F52" s="79">
        <f t="shared" si="8"/>
        <v>2.5000000000000006E-4</v>
      </c>
    </row>
    <row r="53" spans="2:6" x14ac:dyDescent="0.25">
      <c r="B53" s="11" t="s">
        <v>106</v>
      </c>
      <c r="C53" s="10" t="s">
        <v>10</v>
      </c>
      <c r="D53" s="52">
        <f>D51-D52</f>
        <v>2.2416666666666661E-3</v>
      </c>
      <c r="E53" s="52">
        <f t="shared" ref="E53:F53" si="9">E51-E52</f>
        <v>2.4916666666666663E-3</v>
      </c>
      <c r="F53" s="79">
        <f t="shared" si="9"/>
        <v>2.616666666666666E-3</v>
      </c>
    </row>
    <row r="54" spans="2:6" x14ac:dyDescent="0.25">
      <c r="B54" s="11" t="s">
        <v>159</v>
      </c>
      <c r="C54" s="10" t="s">
        <v>160</v>
      </c>
      <c r="D54" s="30">
        <f>D51*1000</f>
        <v>2.8666666666666663</v>
      </c>
      <c r="E54" s="30">
        <f t="shared" ref="E54:F54" si="10">E51*1000</f>
        <v>2.8666666666666663</v>
      </c>
      <c r="F54" s="26">
        <f t="shared" si="10"/>
        <v>2.8666666666666663</v>
      </c>
    </row>
    <row r="55" spans="2:6" ht="15.75" thickBot="1" x14ac:dyDescent="0.3">
      <c r="B55" s="81" t="s">
        <v>151</v>
      </c>
      <c r="C55" s="82" t="s">
        <v>152</v>
      </c>
      <c r="D55" s="142">
        <f>D53*$D$42</f>
        <v>2.6899999999999995</v>
      </c>
      <c r="E55" s="142">
        <f t="shared" ref="E55:F55" si="11">E53*$D$42</f>
        <v>2.9899999999999998</v>
      </c>
      <c r="F55" s="143">
        <f t="shared" si="11"/>
        <v>3.1399999999999992</v>
      </c>
    </row>
  </sheetData>
  <mergeCells count="8">
    <mergeCell ref="B40:D40"/>
    <mergeCell ref="B49:F49"/>
    <mergeCell ref="B31:F31"/>
    <mergeCell ref="B2:D2"/>
    <mergeCell ref="B4:D4"/>
    <mergeCell ref="B11:D11"/>
    <mergeCell ref="B18:D18"/>
    <mergeCell ref="B24:F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9"/>
  <sheetViews>
    <sheetView topLeftCell="C6" workbookViewId="0">
      <selection activeCell="M58" sqref="M58"/>
    </sheetView>
  </sheetViews>
  <sheetFormatPr defaultRowHeight="15" x14ac:dyDescent="0.25"/>
  <cols>
    <col min="2" max="2" width="28.85546875" customWidth="1"/>
    <col min="4" max="5" width="23.7109375" customWidth="1"/>
    <col min="6" max="6" width="24.7109375" customWidth="1"/>
    <col min="9" max="9" width="34.140625" bestFit="1" customWidth="1"/>
    <col min="10" max="10" width="12.5703125" customWidth="1"/>
    <col min="11" max="11" width="23.28515625" bestFit="1" customWidth="1"/>
    <col min="12" max="12" width="23.28515625" customWidth="1"/>
    <col min="13" max="13" width="20.5703125" bestFit="1" customWidth="1"/>
    <col min="15" max="15" width="9.140625" customWidth="1"/>
    <col min="16" max="16" width="34.140625" bestFit="1" customWidth="1"/>
    <col min="17" max="17" width="8.7109375" bestFit="1" customWidth="1"/>
    <col min="18" max="18" width="23.28515625" bestFit="1" customWidth="1"/>
    <col min="19" max="19" width="23.28515625" customWidth="1"/>
    <col min="20" max="20" width="20.5703125" bestFit="1" customWidth="1"/>
  </cols>
  <sheetData>
    <row r="1" spans="2:19" ht="15.75" thickBot="1" x14ac:dyDescent="0.3"/>
    <row r="2" spans="2:19" ht="15.75" thickBot="1" x14ac:dyDescent="0.3">
      <c r="B2" s="131" t="s">
        <v>21</v>
      </c>
      <c r="C2" s="132"/>
      <c r="D2" s="133"/>
      <c r="E2" s="53"/>
      <c r="I2" s="131" t="s">
        <v>40</v>
      </c>
      <c r="J2" s="132"/>
      <c r="K2" s="133"/>
      <c r="L2" s="53"/>
      <c r="P2" s="131" t="s">
        <v>41</v>
      </c>
      <c r="Q2" s="132"/>
      <c r="R2" s="133"/>
      <c r="S2" s="53"/>
    </row>
    <row r="3" spans="2:19" ht="15.75" thickBot="1" x14ac:dyDescent="0.3"/>
    <row r="4" spans="2:19" x14ac:dyDescent="0.25">
      <c r="B4" s="134" t="s">
        <v>0</v>
      </c>
      <c r="C4" s="135"/>
      <c r="D4" s="136"/>
      <c r="E4" s="53"/>
      <c r="I4" s="134" t="s">
        <v>0</v>
      </c>
      <c r="J4" s="135"/>
      <c r="K4" s="136"/>
      <c r="L4" s="53"/>
      <c r="P4" s="134" t="s">
        <v>0</v>
      </c>
      <c r="Q4" s="135"/>
      <c r="R4" s="136"/>
      <c r="S4" s="53"/>
    </row>
    <row r="5" spans="2:19" x14ac:dyDescent="0.25">
      <c r="B5" s="7" t="s">
        <v>1</v>
      </c>
      <c r="C5" s="8" t="s">
        <v>4</v>
      </c>
      <c r="D5" s="9" t="s">
        <v>5</v>
      </c>
      <c r="E5" s="54"/>
      <c r="I5" s="7" t="s">
        <v>1</v>
      </c>
      <c r="J5" s="8" t="s">
        <v>4</v>
      </c>
      <c r="K5" s="9" t="s">
        <v>5</v>
      </c>
      <c r="L5" s="54"/>
      <c r="P5" s="7" t="s">
        <v>1</v>
      </c>
      <c r="Q5" s="8" t="s">
        <v>4</v>
      </c>
      <c r="R5" s="9" t="s">
        <v>5</v>
      </c>
      <c r="S5" s="54"/>
    </row>
    <row r="6" spans="2:19" x14ac:dyDescent="0.25">
      <c r="B6" s="69" t="s">
        <v>87</v>
      </c>
      <c r="C6" s="70" t="s">
        <v>88</v>
      </c>
      <c r="D6" s="65">
        <v>2000</v>
      </c>
      <c r="E6" s="54"/>
      <c r="I6" s="69" t="s">
        <v>87</v>
      </c>
      <c r="J6" s="70" t="s">
        <v>88</v>
      </c>
      <c r="K6" s="65">
        <v>2000</v>
      </c>
      <c r="L6" s="54"/>
      <c r="P6" s="67"/>
      <c r="Q6" s="54"/>
      <c r="R6" s="68"/>
      <c r="S6" s="54"/>
    </row>
    <row r="7" spans="2:19" x14ac:dyDescent="0.25">
      <c r="B7" s="69" t="s">
        <v>89</v>
      </c>
      <c r="C7" s="70" t="s">
        <v>90</v>
      </c>
      <c r="D7" s="65">
        <v>3</v>
      </c>
      <c r="E7" s="54"/>
      <c r="I7" s="69" t="s">
        <v>89</v>
      </c>
      <c r="J7" s="70" t="s">
        <v>90</v>
      </c>
      <c r="K7" s="65">
        <v>3</v>
      </c>
      <c r="L7" s="54"/>
      <c r="P7" s="67"/>
      <c r="Q7" s="54"/>
      <c r="R7" s="68"/>
      <c r="S7" s="54"/>
    </row>
    <row r="8" spans="2:19" x14ac:dyDescent="0.25">
      <c r="B8" s="3" t="s">
        <v>2</v>
      </c>
      <c r="C8" s="4" t="s">
        <v>6</v>
      </c>
      <c r="D8" s="35">
        <v>2.2000000000000002</v>
      </c>
      <c r="E8" s="55"/>
      <c r="I8" s="3" t="s">
        <v>2</v>
      </c>
      <c r="J8" s="4" t="s">
        <v>6</v>
      </c>
      <c r="K8" s="35">
        <v>3.75</v>
      </c>
      <c r="L8" s="55"/>
      <c r="P8" s="3" t="s">
        <v>2</v>
      </c>
      <c r="Q8" s="4" t="s">
        <v>6</v>
      </c>
      <c r="R8" s="35">
        <v>5</v>
      </c>
      <c r="S8" s="55"/>
    </row>
    <row r="9" spans="2:19" ht="15.75" thickBot="1" x14ac:dyDescent="0.3">
      <c r="B9" s="5" t="s">
        <v>3</v>
      </c>
      <c r="C9" s="6" t="s">
        <v>7</v>
      </c>
      <c r="D9" s="36">
        <v>28</v>
      </c>
      <c r="E9" s="55"/>
      <c r="I9" s="3" t="s">
        <v>22</v>
      </c>
      <c r="J9" s="4" t="s">
        <v>23</v>
      </c>
      <c r="K9" s="35">
        <v>5</v>
      </c>
      <c r="L9" s="55"/>
      <c r="P9" s="3" t="s">
        <v>22</v>
      </c>
      <c r="Q9" s="4" t="s">
        <v>23</v>
      </c>
      <c r="R9" s="35">
        <v>5</v>
      </c>
      <c r="S9" s="55"/>
    </row>
    <row r="10" spans="2:19" x14ac:dyDescent="0.25">
      <c r="B10" s="4"/>
      <c r="C10" s="4"/>
      <c r="D10" s="4"/>
      <c r="E10" s="4"/>
      <c r="I10" s="22" t="s">
        <v>24</v>
      </c>
      <c r="J10" s="4" t="s">
        <v>27</v>
      </c>
      <c r="K10" s="65">
        <f>K12+K11</f>
        <v>240</v>
      </c>
      <c r="L10" s="55"/>
      <c r="P10" s="22" t="s">
        <v>24</v>
      </c>
      <c r="Q10" s="4" t="s">
        <v>27</v>
      </c>
      <c r="R10" s="65">
        <f>R11+R12</f>
        <v>225</v>
      </c>
      <c r="S10" s="55"/>
    </row>
    <row r="11" spans="2:19" x14ac:dyDescent="0.25">
      <c r="B11" s="4"/>
      <c r="C11" s="4"/>
      <c r="D11" s="4"/>
      <c r="E11" s="4"/>
      <c r="I11" s="22" t="s">
        <v>85</v>
      </c>
      <c r="J11" s="4" t="s">
        <v>27</v>
      </c>
      <c r="K11" s="35">
        <v>180</v>
      </c>
      <c r="L11" s="55"/>
      <c r="P11" s="22" t="s">
        <v>85</v>
      </c>
      <c r="Q11" s="4" t="s">
        <v>27</v>
      </c>
      <c r="R11" s="35">
        <v>180</v>
      </c>
      <c r="S11" s="55"/>
    </row>
    <row r="12" spans="2:19" x14ac:dyDescent="0.25">
      <c r="B12" s="4"/>
      <c r="C12" s="4"/>
      <c r="D12" s="4"/>
      <c r="E12" s="4"/>
      <c r="I12" s="22" t="s">
        <v>86</v>
      </c>
      <c r="J12" s="4" t="s">
        <v>27</v>
      </c>
      <c r="K12" s="41">
        <v>60</v>
      </c>
      <c r="L12" s="61"/>
      <c r="P12" s="22" t="s">
        <v>86</v>
      </c>
      <c r="Q12" s="4" t="s">
        <v>27</v>
      </c>
      <c r="R12" s="41">
        <f>K12*(K8/R8)</f>
        <v>45</v>
      </c>
      <c r="S12" s="61"/>
    </row>
    <row r="13" spans="2:19" x14ac:dyDescent="0.25">
      <c r="B13" s="4"/>
      <c r="C13" s="4"/>
      <c r="D13" s="4"/>
      <c r="E13" s="4"/>
      <c r="I13" s="22" t="s">
        <v>25</v>
      </c>
      <c r="J13" s="21" t="s">
        <v>28</v>
      </c>
      <c r="K13" s="64">
        <f>3600/K10</f>
        <v>15</v>
      </c>
      <c r="L13" s="21"/>
      <c r="P13" s="22" t="s">
        <v>25</v>
      </c>
      <c r="Q13" s="21" t="s">
        <v>28</v>
      </c>
      <c r="R13" s="64">
        <f>3600/R10</f>
        <v>16</v>
      </c>
      <c r="S13" s="21"/>
    </row>
    <row r="14" spans="2:19" ht="15.75" thickBot="1" x14ac:dyDescent="0.3">
      <c r="B14" s="4"/>
      <c r="C14" s="4"/>
      <c r="D14" s="4"/>
      <c r="E14" s="4"/>
      <c r="I14" s="23" t="s">
        <v>26</v>
      </c>
      <c r="J14" s="24" t="s">
        <v>12</v>
      </c>
      <c r="K14" s="66">
        <f>K12/K10</f>
        <v>0.25</v>
      </c>
      <c r="L14" s="62"/>
      <c r="P14" s="23" t="s">
        <v>26</v>
      </c>
      <c r="Q14" s="24" t="s">
        <v>12</v>
      </c>
      <c r="R14" s="66">
        <f>R12/R10</f>
        <v>0.2</v>
      </c>
      <c r="S14" s="62"/>
    </row>
    <row r="15" spans="2:19" ht="15.75" thickBot="1" x14ac:dyDescent="0.3"/>
    <row r="16" spans="2:19" x14ac:dyDescent="0.25">
      <c r="B16" s="134" t="s">
        <v>8</v>
      </c>
      <c r="C16" s="135"/>
      <c r="D16" s="136"/>
      <c r="E16" s="53"/>
      <c r="I16" s="134" t="s">
        <v>8</v>
      </c>
      <c r="J16" s="135"/>
      <c r="K16" s="136"/>
      <c r="L16" s="53"/>
      <c r="P16" s="134" t="s">
        <v>8</v>
      </c>
      <c r="Q16" s="135"/>
      <c r="R16" s="136"/>
      <c r="S16" s="53"/>
    </row>
    <row r="17" spans="2:20" x14ac:dyDescent="0.25">
      <c r="B17" s="7" t="s">
        <v>1</v>
      </c>
      <c r="C17" s="8" t="s">
        <v>4</v>
      </c>
      <c r="D17" s="9" t="s">
        <v>5</v>
      </c>
      <c r="E17" s="54"/>
      <c r="I17" s="7" t="s">
        <v>1</v>
      </c>
      <c r="J17" s="8" t="s">
        <v>4</v>
      </c>
      <c r="K17" s="9" t="s">
        <v>5</v>
      </c>
      <c r="L17" s="54"/>
      <c r="P17" s="7" t="s">
        <v>1</v>
      </c>
      <c r="Q17" s="8" t="s">
        <v>4</v>
      </c>
      <c r="R17" s="9" t="s">
        <v>5</v>
      </c>
      <c r="S17" s="54"/>
    </row>
    <row r="18" spans="2:20" x14ac:dyDescent="0.25">
      <c r="B18" s="3" t="s">
        <v>9</v>
      </c>
      <c r="C18" s="4" t="s">
        <v>10</v>
      </c>
      <c r="D18" s="37">
        <v>6.5000000000000002E-2</v>
      </c>
      <c r="E18" s="56"/>
      <c r="I18" s="3" t="s">
        <v>29</v>
      </c>
      <c r="J18" s="4" t="s">
        <v>10</v>
      </c>
      <c r="K18" s="37">
        <v>6.5000000000000002E-2</v>
      </c>
      <c r="L18" s="56"/>
      <c r="P18" s="3" t="s">
        <v>29</v>
      </c>
      <c r="Q18" s="4" t="s">
        <v>10</v>
      </c>
      <c r="R18" s="37">
        <v>6.5000000000000002E-2</v>
      </c>
      <c r="S18" s="56"/>
    </row>
    <row r="19" spans="2:20" x14ac:dyDescent="0.25">
      <c r="B19" s="22" t="s">
        <v>13</v>
      </c>
      <c r="C19" s="21" t="s">
        <v>14</v>
      </c>
      <c r="D19" s="41">
        <v>8</v>
      </c>
      <c r="E19" s="56"/>
      <c r="I19" s="22" t="s">
        <v>13</v>
      </c>
      <c r="J19" s="21" t="s">
        <v>14</v>
      </c>
      <c r="K19" s="41">
        <v>7</v>
      </c>
      <c r="L19" s="56"/>
      <c r="P19" s="3"/>
      <c r="Q19" s="4"/>
      <c r="R19" s="37"/>
      <c r="S19" s="56"/>
    </row>
    <row r="20" spans="2:20" ht="15.75" thickBot="1" x14ac:dyDescent="0.3">
      <c r="B20" s="23" t="s">
        <v>11</v>
      </c>
      <c r="C20" s="24" t="s">
        <v>12</v>
      </c>
      <c r="D20" s="63">
        <v>0.5</v>
      </c>
      <c r="E20" s="57"/>
      <c r="I20" s="23" t="s">
        <v>11</v>
      </c>
      <c r="J20" s="24" t="s">
        <v>12</v>
      </c>
      <c r="K20" s="63">
        <v>0.5</v>
      </c>
      <c r="L20" s="57"/>
      <c r="P20" s="12" t="s">
        <v>13</v>
      </c>
      <c r="Q20" s="13" t="s">
        <v>14</v>
      </c>
      <c r="R20" s="38">
        <v>8</v>
      </c>
      <c r="S20" s="57"/>
    </row>
    <row r="21" spans="2:20" ht="15.75" thickBot="1" x14ac:dyDescent="0.3">
      <c r="B21" s="2"/>
      <c r="I21" s="2"/>
      <c r="P21" s="2"/>
    </row>
    <row r="22" spans="2:20" x14ac:dyDescent="0.25">
      <c r="B22" s="137" t="s">
        <v>15</v>
      </c>
      <c r="C22" s="138"/>
      <c r="D22" s="139"/>
      <c r="E22" s="58"/>
      <c r="I22" s="137" t="s">
        <v>15</v>
      </c>
      <c r="J22" s="138"/>
      <c r="K22" s="139"/>
      <c r="L22" s="58"/>
      <c r="P22" s="137" t="s">
        <v>15</v>
      </c>
      <c r="Q22" s="138"/>
      <c r="R22" s="139"/>
      <c r="S22" s="58"/>
    </row>
    <row r="23" spans="2:20" x14ac:dyDescent="0.25">
      <c r="B23" s="14" t="s">
        <v>16</v>
      </c>
      <c r="C23" s="15" t="s">
        <v>4</v>
      </c>
      <c r="D23" s="16" t="s">
        <v>5</v>
      </c>
      <c r="E23" s="15"/>
      <c r="I23" s="14" t="s">
        <v>16</v>
      </c>
      <c r="J23" s="15" t="s">
        <v>4</v>
      </c>
      <c r="K23" s="16" t="s">
        <v>5</v>
      </c>
      <c r="L23" s="15"/>
      <c r="P23" s="14" t="s">
        <v>16</v>
      </c>
      <c r="Q23" s="15" t="s">
        <v>4</v>
      </c>
      <c r="R23" s="16" t="s">
        <v>5</v>
      </c>
      <c r="S23" s="15"/>
    </row>
    <row r="24" spans="2:20" x14ac:dyDescent="0.25">
      <c r="B24" s="11" t="s">
        <v>82</v>
      </c>
      <c r="C24" s="10" t="s">
        <v>17</v>
      </c>
      <c r="D24" s="39">
        <v>1</v>
      </c>
      <c r="E24" s="59"/>
      <c r="I24" s="11" t="s">
        <v>82</v>
      </c>
      <c r="J24" s="10" t="s">
        <v>17</v>
      </c>
      <c r="K24" s="39">
        <v>1</v>
      </c>
      <c r="L24" s="59"/>
      <c r="P24" s="11" t="s">
        <v>82</v>
      </c>
      <c r="Q24" s="10" t="s">
        <v>17</v>
      </c>
      <c r="R24" s="39">
        <v>1</v>
      </c>
      <c r="S24" s="59"/>
    </row>
    <row r="25" spans="2:20" x14ac:dyDescent="0.25">
      <c r="B25" s="11" t="s">
        <v>83</v>
      </c>
      <c r="C25" s="10" t="s">
        <v>17</v>
      </c>
      <c r="D25" s="39">
        <v>0.6</v>
      </c>
      <c r="E25" s="59"/>
      <c r="I25" s="11" t="s">
        <v>83</v>
      </c>
      <c r="J25" s="10" t="s">
        <v>17</v>
      </c>
      <c r="K25" s="39">
        <v>0.6</v>
      </c>
      <c r="L25" s="59"/>
      <c r="P25" s="11" t="s">
        <v>83</v>
      </c>
      <c r="Q25" s="10" t="s">
        <v>17</v>
      </c>
      <c r="R25" s="39">
        <v>0.6</v>
      </c>
      <c r="S25" s="59"/>
    </row>
    <row r="26" spans="2:20" ht="15.75" thickBot="1" x14ac:dyDescent="0.3">
      <c r="B26" s="17" t="s">
        <v>84</v>
      </c>
      <c r="C26" s="18" t="s">
        <v>17</v>
      </c>
      <c r="D26" s="40">
        <v>0.4</v>
      </c>
      <c r="E26" s="59"/>
      <c r="I26" s="17" t="s">
        <v>84</v>
      </c>
      <c r="J26" s="18" t="s">
        <v>17</v>
      </c>
      <c r="K26" s="40">
        <v>0.4</v>
      </c>
      <c r="L26" s="59"/>
      <c r="P26" s="17" t="s">
        <v>84</v>
      </c>
      <c r="Q26" s="18" t="s">
        <v>17</v>
      </c>
      <c r="R26" s="40">
        <v>0.4</v>
      </c>
      <c r="S26" s="59"/>
    </row>
    <row r="27" spans="2:20" ht="15.75" thickBot="1" x14ac:dyDescent="0.3"/>
    <row r="28" spans="2:20" ht="14.45" customHeight="1" x14ac:dyDescent="0.25">
      <c r="B28" s="128" t="s">
        <v>91</v>
      </c>
      <c r="C28" s="129"/>
      <c r="D28" s="129"/>
      <c r="E28" s="129"/>
      <c r="F28" s="130"/>
      <c r="I28" s="128" t="s">
        <v>91</v>
      </c>
      <c r="J28" s="129"/>
      <c r="K28" s="129"/>
      <c r="L28" s="129"/>
      <c r="M28" s="130"/>
      <c r="P28" s="128" t="s">
        <v>39</v>
      </c>
      <c r="Q28" s="129"/>
      <c r="R28" s="129"/>
      <c r="S28" s="129"/>
      <c r="T28" s="130"/>
    </row>
    <row r="29" spans="2:20" x14ac:dyDescent="0.25">
      <c r="B29" s="19" t="s">
        <v>18</v>
      </c>
      <c r="C29" s="20" t="s">
        <v>4</v>
      </c>
      <c r="D29" s="31" t="s">
        <v>82</v>
      </c>
      <c r="E29" s="31" t="s">
        <v>99</v>
      </c>
      <c r="F29" s="32" t="s">
        <v>84</v>
      </c>
      <c r="I29" s="19" t="s">
        <v>18</v>
      </c>
      <c r="J29" s="20" t="s">
        <v>4</v>
      </c>
      <c r="K29" s="31" t="s">
        <v>82</v>
      </c>
      <c r="L29" s="31" t="s">
        <v>99</v>
      </c>
      <c r="M29" s="32" t="s">
        <v>84</v>
      </c>
      <c r="P29" s="19" t="s">
        <v>18</v>
      </c>
      <c r="Q29" s="20" t="s">
        <v>4</v>
      </c>
      <c r="R29" s="31" t="s">
        <v>82</v>
      </c>
      <c r="S29" s="31" t="s">
        <v>99</v>
      </c>
      <c r="T29" s="32" t="s">
        <v>84</v>
      </c>
    </row>
    <row r="30" spans="2:20" x14ac:dyDescent="0.25">
      <c r="B30" s="11" t="s">
        <v>30</v>
      </c>
      <c r="C30" s="10" t="s">
        <v>19</v>
      </c>
      <c r="D30" s="30">
        <f>$D$18*$D$9</f>
        <v>1.82</v>
      </c>
      <c r="E30" s="30">
        <f>$D$18*$D$9</f>
        <v>1.82</v>
      </c>
      <c r="F30" s="60">
        <f>$D$18*$D$9</f>
        <v>1.82</v>
      </c>
      <c r="I30" s="11" t="s">
        <v>30</v>
      </c>
      <c r="J30" s="10" t="s">
        <v>19</v>
      </c>
      <c r="K30" s="87">
        <f>$K$18*$K$9*$K$13</f>
        <v>4.875</v>
      </c>
      <c r="L30" s="87">
        <f t="shared" ref="L30:M30" si="0">$K$18*$K$9*$K$13</f>
        <v>4.875</v>
      </c>
      <c r="M30" s="27">
        <f t="shared" si="0"/>
        <v>4.875</v>
      </c>
      <c r="P30" s="11" t="s">
        <v>30</v>
      </c>
      <c r="Q30" s="10" t="s">
        <v>19</v>
      </c>
      <c r="R30" s="30">
        <f>$R$18*$R$9*$R$13</f>
        <v>5.2</v>
      </c>
      <c r="S30" s="30">
        <f t="shared" ref="S30:T30" si="1">$R$18*$R$9*$R$13</f>
        <v>5.2</v>
      </c>
      <c r="T30" s="26">
        <f t="shared" si="1"/>
        <v>5.2</v>
      </c>
    </row>
    <row r="31" spans="2:20" x14ac:dyDescent="0.25">
      <c r="B31" s="11" t="s">
        <v>31</v>
      </c>
      <c r="C31" s="10" t="s">
        <v>19</v>
      </c>
      <c r="D31" s="30">
        <f>$D$24*$D$8</f>
        <v>2.2000000000000002</v>
      </c>
      <c r="E31" s="30">
        <f>D25*$D$8</f>
        <v>1.32</v>
      </c>
      <c r="F31" s="26">
        <f>D26*$D$8</f>
        <v>0.88000000000000012</v>
      </c>
      <c r="I31" s="11" t="s">
        <v>31</v>
      </c>
      <c r="J31" s="10" t="s">
        <v>19</v>
      </c>
      <c r="K31" s="87">
        <f>K24*$K$8*$K$14</f>
        <v>0.9375</v>
      </c>
      <c r="L31" s="87">
        <f>K25*$K$8*$K$14</f>
        <v>0.5625</v>
      </c>
      <c r="M31" s="27">
        <f>K26*$K$8*$K$14</f>
        <v>0.375</v>
      </c>
      <c r="P31" s="11" t="s">
        <v>31</v>
      </c>
      <c r="Q31" s="10" t="s">
        <v>19</v>
      </c>
      <c r="R31" s="30">
        <f>R24*$R$8*$R$14</f>
        <v>1</v>
      </c>
      <c r="S31" s="30">
        <f>R25*$R$8*$R$14</f>
        <v>0.60000000000000009</v>
      </c>
      <c r="T31" s="26">
        <f>R26*$R$8*$R$14</f>
        <v>0.4</v>
      </c>
    </row>
    <row r="32" spans="2:20" x14ac:dyDescent="0.25">
      <c r="B32" s="11" t="s">
        <v>32</v>
      </c>
      <c r="C32" s="10" t="s">
        <v>19</v>
      </c>
      <c r="D32" s="30">
        <f>D30-D31</f>
        <v>-0.38000000000000012</v>
      </c>
      <c r="E32" s="30">
        <f t="shared" ref="E32:F32" si="2">E30-E31</f>
        <v>0.5</v>
      </c>
      <c r="F32" s="26">
        <f t="shared" si="2"/>
        <v>0.94</v>
      </c>
      <c r="I32" s="11" t="s">
        <v>32</v>
      </c>
      <c r="J32" s="10" t="s">
        <v>19</v>
      </c>
      <c r="K32" s="87">
        <f>K30-K31</f>
        <v>3.9375</v>
      </c>
      <c r="L32" s="87">
        <f t="shared" ref="L32:M32" si="3">L30-L31</f>
        <v>4.3125</v>
      </c>
      <c r="M32" s="27">
        <f t="shared" si="3"/>
        <v>4.5</v>
      </c>
      <c r="P32" s="11" t="s">
        <v>32</v>
      </c>
      <c r="Q32" s="10" t="s">
        <v>19</v>
      </c>
      <c r="R32" s="30">
        <f>R30-R31</f>
        <v>4.2</v>
      </c>
      <c r="S32" s="30">
        <f t="shared" ref="S32:T32" si="4">S30-S31</f>
        <v>4.5999999999999996</v>
      </c>
      <c r="T32" s="26">
        <f t="shared" si="4"/>
        <v>4.8</v>
      </c>
    </row>
    <row r="33" spans="2:20" ht="15.75" thickBot="1" x14ac:dyDescent="0.3">
      <c r="B33" s="17" t="s">
        <v>33</v>
      </c>
      <c r="C33" s="18" t="s">
        <v>20</v>
      </c>
      <c r="D33" s="33">
        <f>D32*D19</f>
        <v>-3.0400000000000009</v>
      </c>
      <c r="E33" s="33">
        <f>E32*D19</f>
        <v>4</v>
      </c>
      <c r="F33" s="29">
        <f>F32*D19</f>
        <v>7.52</v>
      </c>
      <c r="I33" s="17" t="s">
        <v>33</v>
      </c>
      <c r="J33" s="18" t="s">
        <v>20</v>
      </c>
      <c r="K33" s="88">
        <f>K32*$K$19</f>
        <v>27.5625</v>
      </c>
      <c r="L33" s="88">
        <f>L32*$K$19</f>
        <v>30.1875</v>
      </c>
      <c r="M33" s="28">
        <f>M32*$K$19</f>
        <v>31.5</v>
      </c>
      <c r="P33" s="17" t="s">
        <v>33</v>
      </c>
      <c r="Q33" s="18" t="s">
        <v>20</v>
      </c>
      <c r="R33" s="33">
        <f>R32*$R$20</f>
        <v>33.6</v>
      </c>
      <c r="S33" s="33">
        <f t="shared" ref="S33:T33" si="5">S32*$R$20</f>
        <v>36.799999999999997</v>
      </c>
      <c r="T33" s="29">
        <f t="shared" si="5"/>
        <v>38.4</v>
      </c>
    </row>
    <row r="34" spans="2:20" ht="15.75" thickBot="1" x14ac:dyDescent="0.3"/>
    <row r="35" spans="2:20" x14ac:dyDescent="0.25">
      <c r="B35" s="128" t="s">
        <v>91</v>
      </c>
      <c r="C35" s="129"/>
      <c r="D35" s="129"/>
      <c r="E35" s="129"/>
      <c r="F35" s="130"/>
      <c r="I35" s="128" t="s">
        <v>94</v>
      </c>
      <c r="J35" s="129"/>
      <c r="K35" s="129"/>
      <c r="L35" s="129"/>
      <c r="M35" s="130"/>
    </row>
    <row r="36" spans="2:20" x14ac:dyDescent="0.25">
      <c r="B36" s="19" t="s">
        <v>18</v>
      </c>
      <c r="C36" s="20" t="s">
        <v>4</v>
      </c>
      <c r="D36" s="31" t="s">
        <v>82</v>
      </c>
      <c r="E36" s="31" t="s">
        <v>99</v>
      </c>
      <c r="F36" s="32" t="s">
        <v>84</v>
      </c>
      <c r="I36" s="19" t="s">
        <v>18</v>
      </c>
      <c r="J36" s="20" t="s">
        <v>4</v>
      </c>
      <c r="K36" s="31" t="s">
        <v>82</v>
      </c>
      <c r="L36" s="31" t="s">
        <v>99</v>
      </c>
      <c r="M36" s="32" t="s">
        <v>84</v>
      </c>
    </row>
    <row r="37" spans="2:20" x14ac:dyDescent="0.25">
      <c r="B37" s="11" t="s">
        <v>97</v>
      </c>
      <c r="C37" s="73" t="s">
        <v>93</v>
      </c>
      <c r="D37" s="72">
        <f>D30*$K$19*365*'Juice Making'!$D$18</f>
        <v>4650.1000000000004</v>
      </c>
      <c r="E37" s="72">
        <f>E30*$K$19*365*'Juice Making'!$D$18</f>
        <v>4650.1000000000004</v>
      </c>
      <c r="F37" s="78">
        <f>F30*$K$19*365*'Juice Making'!$D$18</f>
        <v>4650.1000000000004</v>
      </c>
      <c r="I37" s="11" t="s">
        <v>97</v>
      </c>
      <c r="J37" s="73" t="s">
        <v>93</v>
      </c>
      <c r="K37" s="89">
        <f>K30*$K$19*365*'Juice Making'!$D$18</f>
        <v>12455.625</v>
      </c>
      <c r="L37" s="89">
        <f>L30*$K$19*365*'Juice Making'!$D$18</f>
        <v>12455.625</v>
      </c>
      <c r="M37" s="90">
        <f>M30*$K$19*365*'Juice Making'!$D$18</f>
        <v>12455.625</v>
      </c>
    </row>
    <row r="38" spans="2:20" x14ac:dyDescent="0.25">
      <c r="B38" s="11" t="s">
        <v>92</v>
      </c>
      <c r="C38" s="10" t="s">
        <v>93</v>
      </c>
      <c r="D38" s="30">
        <f>D33*365*$D$20</f>
        <v>-554.80000000000018</v>
      </c>
      <c r="E38" s="30">
        <f t="shared" ref="E38:F38" si="6">E33*365*$D$20</f>
        <v>730</v>
      </c>
      <c r="F38" s="26">
        <f t="shared" si="6"/>
        <v>1372.3999999999999</v>
      </c>
      <c r="I38" s="11" t="s">
        <v>92</v>
      </c>
      <c r="J38" s="10" t="s">
        <v>93</v>
      </c>
      <c r="K38" s="87">
        <f>K33*365*'Juice Making'!$D$18</f>
        <v>10060.3125</v>
      </c>
      <c r="L38" s="87">
        <f>L33*365*'Juice Making'!$D$18</f>
        <v>11018.4375</v>
      </c>
      <c r="M38" s="27">
        <f>M33*365*'Juice Making'!$D$18</f>
        <v>11497.5</v>
      </c>
      <c r="O38" s="34"/>
    </row>
    <row r="39" spans="2:20" x14ac:dyDescent="0.25">
      <c r="B39" s="11" t="s">
        <v>95</v>
      </c>
      <c r="C39" s="10" t="s">
        <v>10</v>
      </c>
      <c r="D39" s="30">
        <f>$D$6/$D$7</f>
        <v>666.66666666666663</v>
      </c>
      <c r="E39" s="30">
        <f t="shared" ref="E39:F39" si="7">$D$6/$D$7</f>
        <v>666.66666666666663</v>
      </c>
      <c r="F39" s="26">
        <f t="shared" si="7"/>
        <v>666.66666666666663</v>
      </c>
      <c r="I39" s="11" t="s">
        <v>95</v>
      </c>
      <c r="J39" s="10" t="s">
        <v>10</v>
      </c>
      <c r="K39" s="87">
        <f>$K$6/$K$7</f>
        <v>666.66666666666663</v>
      </c>
      <c r="L39" s="87">
        <f t="shared" ref="L39:M39" si="8">$K$6/$K$7</f>
        <v>666.66666666666663</v>
      </c>
      <c r="M39" s="27">
        <f t="shared" si="8"/>
        <v>666.66666666666663</v>
      </c>
    </row>
    <row r="40" spans="2:20" x14ac:dyDescent="0.25">
      <c r="B40" s="11" t="s">
        <v>94</v>
      </c>
      <c r="C40" s="10" t="s">
        <v>10</v>
      </c>
      <c r="D40" s="52">
        <f>D38-D39</f>
        <v>-1221.4666666666667</v>
      </c>
      <c r="E40" s="52">
        <f t="shared" ref="E40" si="9">E38-E39</f>
        <v>63.333333333333371</v>
      </c>
      <c r="F40" s="79">
        <f t="shared" ref="F40" si="10">F38-F39</f>
        <v>705.73333333333323</v>
      </c>
      <c r="I40" s="11" t="s">
        <v>94</v>
      </c>
      <c r="J40" s="10" t="s">
        <v>10</v>
      </c>
      <c r="K40" s="87">
        <f>K38-K39</f>
        <v>9393.6458333333339</v>
      </c>
      <c r="L40" s="87">
        <f t="shared" ref="L40:M40" si="11">L38-L39</f>
        <v>10351.770833333334</v>
      </c>
      <c r="M40" s="27">
        <f t="shared" si="11"/>
        <v>10830.833333333334</v>
      </c>
    </row>
    <row r="41" spans="2:20" x14ac:dyDescent="0.25">
      <c r="B41" s="11" t="s">
        <v>96</v>
      </c>
      <c r="C41" s="10" t="s">
        <v>12</v>
      </c>
      <c r="D41" s="74">
        <f>D40/D37</f>
        <v>-0.26267535465187125</v>
      </c>
      <c r="E41" s="74">
        <f t="shared" ref="E41" si="12">E40/E37</f>
        <v>1.3619778786119302E-2</v>
      </c>
      <c r="F41" s="80">
        <f t="shared" ref="F41" si="13">F40/F37</f>
        <v>0.15176734550511456</v>
      </c>
      <c r="I41" s="11" t="s">
        <v>96</v>
      </c>
      <c r="J41" s="10" t="s">
        <v>12</v>
      </c>
      <c r="K41" s="91">
        <f>K40/K37</f>
        <v>0.75416896649773368</v>
      </c>
      <c r="L41" s="91">
        <f t="shared" ref="L41:M41" si="14">L40/L37</f>
        <v>0.83109204342081056</v>
      </c>
      <c r="M41" s="92">
        <f t="shared" si="14"/>
        <v>0.8695535818823491</v>
      </c>
    </row>
    <row r="42" spans="2:20" ht="15.75" thickBot="1" x14ac:dyDescent="0.3">
      <c r="B42" s="81" t="s">
        <v>98</v>
      </c>
      <c r="C42" s="82" t="s">
        <v>12</v>
      </c>
      <c r="D42" s="83">
        <f>D39/D38</f>
        <v>-1.2016342225426575</v>
      </c>
      <c r="E42" s="83">
        <f t="shared" ref="E42:F42" si="15">E39/E38</f>
        <v>0.91324200913242004</v>
      </c>
      <c r="F42" s="84">
        <f t="shared" si="15"/>
        <v>0.48576702613426603</v>
      </c>
      <c r="I42" s="81" t="s">
        <v>98</v>
      </c>
      <c r="J42" s="82" t="s">
        <v>12</v>
      </c>
      <c r="K42" s="93">
        <f>K39/K38</f>
        <v>6.6266993859948845E-2</v>
      </c>
      <c r="L42" s="93">
        <f t="shared" ref="L42:M42" si="16">L39/L38</f>
        <v>6.0504646567779381E-2</v>
      </c>
      <c r="M42" s="94">
        <f t="shared" si="16"/>
        <v>5.7983619627455241E-2</v>
      </c>
    </row>
    <row r="43" spans="2:20" ht="15.75" thickBot="1" x14ac:dyDescent="0.3"/>
    <row r="44" spans="2:20" x14ac:dyDescent="0.25">
      <c r="I44" s="128" t="s">
        <v>143</v>
      </c>
      <c r="J44" s="129"/>
      <c r="K44" s="130"/>
    </row>
    <row r="45" spans="2:20" x14ac:dyDescent="0.25">
      <c r="I45" s="19" t="s">
        <v>18</v>
      </c>
      <c r="J45" s="20" t="s">
        <v>4</v>
      </c>
      <c r="K45" s="32" t="s">
        <v>5</v>
      </c>
    </row>
    <row r="46" spans="2:20" x14ac:dyDescent="0.25">
      <c r="I46" s="11" t="s">
        <v>138</v>
      </c>
      <c r="J46" s="10" t="s">
        <v>139</v>
      </c>
      <c r="K46" s="35">
        <v>450</v>
      </c>
    </row>
    <row r="47" spans="2:20" x14ac:dyDescent="0.25">
      <c r="I47" s="11" t="s">
        <v>134</v>
      </c>
      <c r="J47" s="10" t="s">
        <v>136</v>
      </c>
      <c r="K47" s="35">
        <v>2</v>
      </c>
    </row>
    <row r="48" spans="2:20" x14ac:dyDescent="0.25">
      <c r="I48" s="11" t="s">
        <v>135</v>
      </c>
      <c r="J48" s="10" t="s">
        <v>137</v>
      </c>
      <c r="K48" s="35">
        <v>100</v>
      </c>
    </row>
    <row r="49" spans="9:13" x14ac:dyDescent="0.25">
      <c r="I49" s="11" t="s">
        <v>140</v>
      </c>
      <c r="J49" s="10" t="s">
        <v>141</v>
      </c>
      <c r="K49" s="65">
        <f>12*K20*30</f>
        <v>180</v>
      </c>
    </row>
    <row r="50" spans="9:13" x14ac:dyDescent="0.25">
      <c r="I50" s="11" t="s">
        <v>3</v>
      </c>
      <c r="J50" s="10" t="s">
        <v>7</v>
      </c>
      <c r="K50" s="65">
        <f>K9*K13</f>
        <v>75</v>
      </c>
    </row>
    <row r="51" spans="9:13" ht="15.75" thickBot="1" x14ac:dyDescent="0.3">
      <c r="I51" s="17" t="s">
        <v>142</v>
      </c>
      <c r="J51" s="18" t="s">
        <v>14</v>
      </c>
      <c r="K51" s="141">
        <f>K46*K47*K48/K49/K50</f>
        <v>6.666666666666667</v>
      </c>
    </row>
    <row r="52" spans="9:13" ht="15.75" thickBot="1" x14ac:dyDescent="0.3"/>
    <row r="53" spans="9:13" x14ac:dyDescent="0.25">
      <c r="I53" s="128" t="s">
        <v>108</v>
      </c>
      <c r="J53" s="129"/>
      <c r="K53" s="129"/>
      <c r="L53" s="129"/>
      <c r="M53" s="130"/>
    </row>
    <row r="54" spans="9:13" x14ac:dyDescent="0.25">
      <c r="I54" s="19" t="s">
        <v>18</v>
      </c>
      <c r="J54" s="20" t="s">
        <v>4</v>
      </c>
      <c r="K54" s="31" t="s">
        <v>82</v>
      </c>
      <c r="L54" s="31" t="s">
        <v>99</v>
      </c>
      <c r="M54" s="32" t="s">
        <v>84</v>
      </c>
    </row>
    <row r="55" spans="9:13" x14ac:dyDescent="0.25">
      <c r="I55" s="11" t="s">
        <v>104</v>
      </c>
      <c r="J55" s="10" t="s">
        <v>10</v>
      </c>
      <c r="K55" s="52">
        <f>K30/($K$13*$K$9)</f>
        <v>6.5000000000000002E-2</v>
      </c>
      <c r="L55" s="52">
        <f>L30/($K$13*$K$9)</f>
        <v>6.5000000000000002E-2</v>
      </c>
      <c r="M55" s="79">
        <f>M30/($K$13*$K$9)</f>
        <v>6.5000000000000002E-2</v>
      </c>
    </row>
    <row r="56" spans="9:13" x14ac:dyDescent="0.25">
      <c r="I56" s="11" t="s">
        <v>105</v>
      </c>
      <c r="J56" s="10" t="s">
        <v>10</v>
      </c>
      <c r="K56" s="52">
        <f>K31/($K$13*$K$9)</f>
        <v>1.2500000000000001E-2</v>
      </c>
      <c r="L56" s="52">
        <f>L31/($K$13*$K$9)</f>
        <v>7.4999999999999997E-3</v>
      </c>
      <c r="M56" s="79">
        <f>M31/($K$13*$K$9)</f>
        <v>5.0000000000000001E-3</v>
      </c>
    </row>
    <row r="57" spans="9:13" x14ac:dyDescent="0.25">
      <c r="I57" s="11" t="s">
        <v>106</v>
      </c>
      <c r="J57" s="10" t="s">
        <v>10</v>
      </c>
      <c r="K57" s="52">
        <f>K55-K56</f>
        <v>5.2500000000000005E-2</v>
      </c>
      <c r="L57" s="52">
        <f t="shared" ref="L57:M57" si="17">L55-L56</f>
        <v>5.7500000000000002E-2</v>
      </c>
      <c r="M57" s="79">
        <f t="shared" si="17"/>
        <v>6.0000000000000005E-2</v>
      </c>
    </row>
    <row r="58" spans="9:13" x14ac:dyDescent="0.25">
      <c r="I58" s="11" t="s">
        <v>159</v>
      </c>
      <c r="J58" s="10" t="s">
        <v>160</v>
      </c>
      <c r="K58" s="30">
        <f>K55*1000</f>
        <v>65</v>
      </c>
      <c r="L58" s="30">
        <f>L55*1000</f>
        <v>65</v>
      </c>
      <c r="M58" s="26">
        <f>M55*1000</f>
        <v>65</v>
      </c>
    </row>
    <row r="59" spans="9:13" ht="15.75" thickBot="1" x14ac:dyDescent="0.3">
      <c r="I59" s="81" t="s">
        <v>151</v>
      </c>
      <c r="J59" s="82" t="s">
        <v>152</v>
      </c>
      <c r="K59" s="142">
        <f>K57*$K$46</f>
        <v>23.625000000000004</v>
      </c>
      <c r="L59" s="142">
        <f t="shared" ref="L59:M59" si="18">L57*$K$46</f>
        <v>25.875</v>
      </c>
      <c r="M59" s="143">
        <f t="shared" si="18"/>
        <v>27.000000000000004</v>
      </c>
    </row>
  </sheetData>
  <mergeCells count="19">
    <mergeCell ref="I44:K44"/>
    <mergeCell ref="P2:R2"/>
    <mergeCell ref="P4:R4"/>
    <mergeCell ref="P16:R16"/>
    <mergeCell ref="P22:R22"/>
    <mergeCell ref="P28:T28"/>
    <mergeCell ref="B35:F35"/>
    <mergeCell ref="I53:M53"/>
    <mergeCell ref="I2:K2"/>
    <mergeCell ref="I4:K4"/>
    <mergeCell ref="I16:K16"/>
    <mergeCell ref="I22:K22"/>
    <mergeCell ref="I28:M28"/>
    <mergeCell ref="I35:M35"/>
    <mergeCell ref="B4:D4"/>
    <mergeCell ref="B16:D16"/>
    <mergeCell ref="B22:D22"/>
    <mergeCell ref="B28:F28"/>
    <mergeCell ref="B2:D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6"/>
  <sheetViews>
    <sheetView topLeftCell="A10" workbookViewId="0">
      <selection activeCell="E26" sqref="E26"/>
    </sheetView>
  </sheetViews>
  <sheetFormatPr defaultRowHeight="15" x14ac:dyDescent="0.25"/>
  <cols>
    <col min="2" max="2" width="35.7109375" customWidth="1"/>
    <col min="3" max="3" width="16.5703125" customWidth="1"/>
    <col min="4" max="6" width="23.7109375" customWidth="1"/>
  </cols>
  <sheetData>
    <row r="1" spans="2:5" ht="15.75" thickBot="1" x14ac:dyDescent="0.3"/>
    <row r="2" spans="2:5" ht="15.75" thickBot="1" x14ac:dyDescent="0.3">
      <c r="B2" s="131" t="s">
        <v>54</v>
      </c>
      <c r="C2" s="132"/>
      <c r="D2" s="133"/>
      <c r="E2" s="53"/>
    </row>
    <row r="3" spans="2:5" ht="15.75" thickBot="1" x14ac:dyDescent="0.3"/>
    <row r="4" spans="2:5" x14ac:dyDescent="0.25">
      <c r="B4" s="134" t="s">
        <v>0</v>
      </c>
      <c r="C4" s="135"/>
      <c r="D4" s="136"/>
      <c r="E4" s="53"/>
    </row>
    <row r="5" spans="2:5" x14ac:dyDescent="0.25">
      <c r="B5" s="7" t="s">
        <v>1</v>
      </c>
      <c r="C5" s="8" t="s">
        <v>4</v>
      </c>
      <c r="D5" s="9" t="s">
        <v>5</v>
      </c>
      <c r="E5" s="54"/>
    </row>
    <row r="6" spans="2:5" x14ac:dyDescent="0.25">
      <c r="B6" s="69" t="s">
        <v>87</v>
      </c>
      <c r="C6" s="70" t="s">
        <v>88</v>
      </c>
      <c r="D6" s="77">
        <v>150</v>
      </c>
      <c r="E6" s="54"/>
    </row>
    <row r="7" spans="2:5" x14ac:dyDescent="0.25">
      <c r="B7" s="69" t="s">
        <v>89</v>
      </c>
      <c r="C7" s="70" t="s">
        <v>90</v>
      </c>
      <c r="D7" s="35">
        <v>3</v>
      </c>
      <c r="E7" s="54"/>
    </row>
    <row r="8" spans="2:5" x14ac:dyDescent="0.25">
      <c r="B8" s="3" t="s">
        <v>2</v>
      </c>
      <c r="C8" s="4" t="s">
        <v>6</v>
      </c>
      <c r="D8" s="35">
        <v>0.5</v>
      </c>
      <c r="E8" s="55"/>
    </row>
    <row r="9" spans="2:5" ht="15.75" thickBot="1" x14ac:dyDescent="0.3">
      <c r="B9" s="5" t="s">
        <v>3</v>
      </c>
      <c r="C9" s="6" t="s">
        <v>7</v>
      </c>
      <c r="D9" s="36">
        <v>180</v>
      </c>
      <c r="E9" s="55"/>
    </row>
    <row r="10" spans="2:5" ht="15.75" thickBot="1" x14ac:dyDescent="0.3"/>
    <row r="11" spans="2:5" x14ac:dyDescent="0.25">
      <c r="B11" s="134" t="s">
        <v>8</v>
      </c>
      <c r="C11" s="135"/>
      <c r="D11" s="136"/>
      <c r="E11" s="53"/>
    </row>
    <row r="12" spans="2:5" x14ac:dyDescent="0.25">
      <c r="B12" s="7" t="s">
        <v>1</v>
      </c>
      <c r="C12" s="8" t="s">
        <v>4</v>
      </c>
      <c r="D12" s="9" t="s">
        <v>5</v>
      </c>
      <c r="E12" s="54"/>
    </row>
    <row r="13" spans="2:5" x14ac:dyDescent="0.25">
      <c r="B13" s="3" t="s">
        <v>46</v>
      </c>
      <c r="C13" s="4" t="s">
        <v>48</v>
      </c>
      <c r="D13" s="35">
        <v>90</v>
      </c>
      <c r="E13" s="55"/>
    </row>
    <row r="14" spans="2:5" x14ac:dyDescent="0.25">
      <c r="B14" s="3" t="s">
        <v>47</v>
      </c>
      <c r="C14" s="4" t="s">
        <v>49</v>
      </c>
      <c r="D14" s="37">
        <v>0.44</v>
      </c>
      <c r="E14" s="56"/>
    </row>
    <row r="15" spans="2:5" x14ac:dyDescent="0.25">
      <c r="B15" s="22" t="s">
        <v>13</v>
      </c>
      <c r="C15" s="21" t="s">
        <v>14</v>
      </c>
      <c r="D15" s="95">
        <v>8</v>
      </c>
      <c r="E15" s="76"/>
    </row>
    <row r="16" spans="2:5" ht="15.75" thickBot="1" x14ac:dyDescent="0.3">
      <c r="B16" s="23" t="s">
        <v>11</v>
      </c>
      <c r="C16" s="6" t="s">
        <v>12</v>
      </c>
      <c r="D16" s="96">
        <f>2/12</f>
        <v>0.16666666666666666</v>
      </c>
      <c r="E16" s="61"/>
    </row>
    <row r="17" spans="2:9" ht="15.75" thickBot="1" x14ac:dyDescent="0.3"/>
    <row r="18" spans="2:9" x14ac:dyDescent="0.25">
      <c r="B18" s="137" t="s">
        <v>15</v>
      </c>
      <c r="C18" s="138"/>
      <c r="D18" s="139"/>
      <c r="E18" s="58"/>
    </row>
    <row r="19" spans="2:9" x14ac:dyDescent="0.25">
      <c r="B19" s="14" t="s">
        <v>16</v>
      </c>
      <c r="C19" s="15" t="s">
        <v>4</v>
      </c>
      <c r="D19" s="16" t="s">
        <v>5</v>
      </c>
      <c r="E19" s="15"/>
      <c r="H19" s="34"/>
    </row>
    <row r="20" spans="2:9" x14ac:dyDescent="0.25">
      <c r="B20" s="11" t="s">
        <v>82</v>
      </c>
      <c r="C20" s="10" t="s">
        <v>17</v>
      </c>
      <c r="D20" s="39">
        <v>1</v>
      </c>
      <c r="E20" s="59"/>
    </row>
    <row r="21" spans="2:9" x14ac:dyDescent="0.25">
      <c r="B21" s="11" t="s">
        <v>99</v>
      </c>
      <c r="C21" s="10" t="s">
        <v>17</v>
      </c>
      <c r="D21" s="39">
        <v>0.6</v>
      </c>
      <c r="E21" s="59"/>
    </row>
    <row r="22" spans="2:9" ht="15.75" thickBot="1" x14ac:dyDescent="0.3">
      <c r="B22" s="17" t="s">
        <v>84</v>
      </c>
      <c r="C22" s="18" t="s">
        <v>17</v>
      </c>
      <c r="D22" s="40">
        <v>0.4</v>
      </c>
      <c r="E22" s="59"/>
      <c r="H22" s="34"/>
    </row>
    <row r="23" spans="2:9" ht="15.75" thickBot="1" x14ac:dyDescent="0.3"/>
    <row r="24" spans="2:9" ht="15" customHeight="1" x14ac:dyDescent="0.25">
      <c r="B24" s="128" t="s">
        <v>91</v>
      </c>
      <c r="C24" s="129"/>
      <c r="D24" s="129"/>
      <c r="E24" s="129"/>
      <c r="F24" s="130"/>
    </row>
    <row r="25" spans="2:9" x14ac:dyDescent="0.25">
      <c r="B25" s="19" t="s">
        <v>18</v>
      </c>
      <c r="C25" s="20" t="s">
        <v>4</v>
      </c>
      <c r="D25" s="31" t="s">
        <v>82</v>
      </c>
      <c r="E25" s="31" t="s">
        <v>99</v>
      </c>
      <c r="F25" s="32" t="s">
        <v>84</v>
      </c>
    </row>
    <row r="26" spans="2:9" x14ac:dyDescent="0.25">
      <c r="B26" s="11" t="s">
        <v>30</v>
      </c>
      <c r="C26" s="10" t="s">
        <v>19</v>
      </c>
      <c r="D26" s="30">
        <f>$D$9/$D$13*$D$14</f>
        <v>0.88</v>
      </c>
      <c r="E26" s="30">
        <f t="shared" ref="E26:F26" si="0">$D$9/$D$13*$D$14</f>
        <v>0.88</v>
      </c>
      <c r="F26" s="26">
        <f t="shared" si="0"/>
        <v>0.88</v>
      </c>
    </row>
    <row r="27" spans="2:9" x14ac:dyDescent="0.25">
      <c r="B27" s="11" t="s">
        <v>31</v>
      </c>
      <c r="C27" s="10" t="s">
        <v>19</v>
      </c>
      <c r="D27" s="30">
        <f>D20*$D$8</f>
        <v>0.5</v>
      </c>
      <c r="E27" s="30">
        <f>D21*$D$8</f>
        <v>0.3</v>
      </c>
      <c r="F27" s="26">
        <f>D22*$D$8</f>
        <v>0.2</v>
      </c>
      <c r="I27" s="34"/>
    </row>
    <row r="28" spans="2:9" x14ac:dyDescent="0.25">
      <c r="B28" s="11" t="s">
        <v>32</v>
      </c>
      <c r="C28" s="10" t="s">
        <v>19</v>
      </c>
      <c r="D28" s="30">
        <f>D26-D27</f>
        <v>0.38</v>
      </c>
      <c r="E28" s="30">
        <f t="shared" ref="E28:F28" si="1">E26-E27</f>
        <v>0.58000000000000007</v>
      </c>
      <c r="F28" s="26">
        <f t="shared" si="1"/>
        <v>0.67999999999999994</v>
      </c>
    </row>
    <row r="29" spans="2:9" ht="15.75" thickBot="1" x14ac:dyDescent="0.3">
      <c r="B29" s="17" t="s">
        <v>33</v>
      </c>
      <c r="C29" s="18" t="s">
        <v>20</v>
      </c>
      <c r="D29" s="33">
        <f>D28*$D$15</f>
        <v>3.04</v>
      </c>
      <c r="E29" s="33">
        <f t="shared" ref="E29:F29" si="2">E28*$D$15</f>
        <v>4.6400000000000006</v>
      </c>
      <c r="F29" s="29">
        <f t="shared" si="2"/>
        <v>5.4399999999999995</v>
      </c>
    </row>
    <row r="30" spans="2:9" ht="15.75" thickBot="1" x14ac:dyDescent="0.3"/>
    <row r="31" spans="2:9" ht="14.45" customHeight="1" x14ac:dyDescent="0.25">
      <c r="B31" s="128" t="s">
        <v>100</v>
      </c>
      <c r="C31" s="129"/>
      <c r="D31" s="129"/>
      <c r="E31" s="129"/>
      <c r="F31" s="130"/>
    </row>
    <row r="32" spans="2:9" x14ac:dyDescent="0.25">
      <c r="B32" s="19" t="s">
        <v>18</v>
      </c>
      <c r="C32" s="20" t="s">
        <v>4</v>
      </c>
      <c r="D32" s="31" t="s">
        <v>82</v>
      </c>
      <c r="E32" s="31" t="s">
        <v>99</v>
      </c>
      <c r="F32" s="32" t="s">
        <v>84</v>
      </c>
    </row>
    <row r="33" spans="2:6" x14ac:dyDescent="0.25">
      <c r="B33" s="11" t="s">
        <v>97</v>
      </c>
      <c r="C33" s="73" t="s">
        <v>93</v>
      </c>
      <c r="D33" s="72">
        <f>D26*$D$16*$D$15*365</f>
        <v>428.26666666666665</v>
      </c>
      <c r="E33" s="72">
        <f t="shared" ref="E33:F33" si="3">E26*$D$16*$D$15*365</f>
        <v>428.26666666666665</v>
      </c>
      <c r="F33" s="78">
        <f t="shared" si="3"/>
        <v>428.26666666666665</v>
      </c>
    </row>
    <row r="34" spans="2:6" x14ac:dyDescent="0.25">
      <c r="B34" s="11" t="s">
        <v>92</v>
      </c>
      <c r="C34" s="10" t="s">
        <v>93</v>
      </c>
      <c r="D34" s="30">
        <f>D29*365*$D$16</f>
        <v>184.93333333333331</v>
      </c>
      <c r="E34" s="30">
        <f t="shared" ref="E34:F34" si="4">E29*365*$D$16</f>
        <v>282.26666666666665</v>
      </c>
      <c r="F34" s="26">
        <f t="shared" si="4"/>
        <v>330.93333333333328</v>
      </c>
    </row>
    <row r="35" spans="2:6" ht="30" x14ac:dyDescent="0.25">
      <c r="B35" s="11" t="s">
        <v>95</v>
      </c>
      <c r="C35" s="10" t="s">
        <v>10</v>
      </c>
      <c r="D35" s="30">
        <f>$D$6/$D$7</f>
        <v>50</v>
      </c>
      <c r="E35" s="30">
        <f t="shared" ref="E35:F35" si="5">$D$6/$D$7</f>
        <v>50</v>
      </c>
      <c r="F35" s="26">
        <f t="shared" si="5"/>
        <v>50</v>
      </c>
    </row>
    <row r="36" spans="2:6" x14ac:dyDescent="0.25">
      <c r="B36" s="11" t="s">
        <v>94</v>
      </c>
      <c r="C36" s="10" t="s">
        <v>10</v>
      </c>
      <c r="D36" s="52">
        <f>D34-D35</f>
        <v>134.93333333333331</v>
      </c>
      <c r="E36" s="52">
        <f t="shared" ref="E36:F36" si="6">E34-E35</f>
        <v>232.26666666666665</v>
      </c>
      <c r="F36" s="79">
        <f t="shared" si="6"/>
        <v>280.93333333333328</v>
      </c>
    </row>
    <row r="37" spans="2:6" x14ac:dyDescent="0.25">
      <c r="B37" s="11" t="s">
        <v>96</v>
      </c>
      <c r="C37" s="10" t="s">
        <v>12</v>
      </c>
      <c r="D37" s="74">
        <f>D36/D33</f>
        <v>0.31506849315068486</v>
      </c>
      <c r="E37" s="74">
        <f>E36/E33</f>
        <v>0.54234122042341215</v>
      </c>
      <c r="F37" s="80">
        <f>F36/F33</f>
        <v>0.65597758405977569</v>
      </c>
    </row>
    <row r="38" spans="2:6" ht="15.75" thickBot="1" x14ac:dyDescent="0.3">
      <c r="B38" s="81" t="s">
        <v>98</v>
      </c>
      <c r="C38" s="82" t="s">
        <v>12</v>
      </c>
      <c r="D38" s="83">
        <f>D35/D34</f>
        <v>0.27036770007209809</v>
      </c>
      <c r="E38" s="83">
        <f t="shared" ref="E38:F38" si="7">E35/E34</f>
        <v>0.17713745866792632</v>
      </c>
      <c r="F38" s="84">
        <f t="shared" si="7"/>
        <v>0.15108783239323129</v>
      </c>
    </row>
    <row r="39" spans="2:6" ht="15.75" thickBot="1" x14ac:dyDescent="0.3"/>
    <row r="40" spans="2:6" x14ac:dyDescent="0.25">
      <c r="B40" s="128" t="s">
        <v>143</v>
      </c>
      <c r="C40" s="129"/>
      <c r="D40" s="130"/>
    </row>
    <row r="41" spans="2:6" x14ac:dyDescent="0.25">
      <c r="B41" s="19" t="s">
        <v>18</v>
      </c>
      <c r="C41" s="20" t="s">
        <v>4</v>
      </c>
      <c r="D41" s="32" t="s">
        <v>5</v>
      </c>
    </row>
    <row r="42" spans="2:6" x14ac:dyDescent="0.25">
      <c r="B42" s="11" t="s">
        <v>138</v>
      </c>
      <c r="C42" s="10" t="s">
        <v>139</v>
      </c>
      <c r="D42" s="35">
        <v>1350</v>
      </c>
    </row>
    <row r="43" spans="2:6" x14ac:dyDescent="0.25">
      <c r="B43" s="11" t="s">
        <v>134</v>
      </c>
      <c r="C43" s="10" t="s">
        <v>136</v>
      </c>
      <c r="D43" s="35">
        <v>2</v>
      </c>
    </row>
    <row r="44" spans="2:6" x14ac:dyDescent="0.25">
      <c r="B44" s="11" t="s">
        <v>135</v>
      </c>
      <c r="C44" s="10" t="s">
        <v>137</v>
      </c>
      <c r="D44" s="35">
        <v>100</v>
      </c>
    </row>
    <row r="45" spans="2:6" x14ac:dyDescent="0.25">
      <c r="B45" s="11" t="s">
        <v>140</v>
      </c>
      <c r="C45" s="10" t="s">
        <v>141</v>
      </c>
      <c r="D45" s="65">
        <f>12*D16*30</f>
        <v>60</v>
      </c>
    </row>
    <row r="46" spans="2:6" x14ac:dyDescent="0.25">
      <c r="B46" s="11" t="s">
        <v>3</v>
      </c>
      <c r="C46" s="10" t="s">
        <v>7</v>
      </c>
      <c r="D46" s="65">
        <f>D9</f>
        <v>180</v>
      </c>
    </row>
    <row r="47" spans="2:6" ht="15.75" thickBot="1" x14ac:dyDescent="0.3">
      <c r="B47" s="17" t="s">
        <v>142</v>
      </c>
      <c r="C47" s="18" t="s">
        <v>14</v>
      </c>
      <c r="D47" s="141">
        <f>D42*D43*D44/D45/D46</f>
        <v>25</v>
      </c>
    </row>
    <row r="48" spans="2:6" ht="15.75" thickBot="1" x14ac:dyDescent="0.3"/>
    <row r="49" spans="2:6" x14ac:dyDescent="0.25">
      <c r="B49" s="128" t="s">
        <v>108</v>
      </c>
      <c r="C49" s="129"/>
      <c r="D49" s="129"/>
      <c r="E49" s="129"/>
      <c r="F49" s="130"/>
    </row>
    <row r="50" spans="2:6" x14ac:dyDescent="0.25">
      <c r="B50" s="19" t="s">
        <v>18</v>
      </c>
      <c r="C50" s="20" t="s">
        <v>4</v>
      </c>
      <c r="D50" s="31" t="s">
        <v>82</v>
      </c>
      <c r="E50" s="31" t="s">
        <v>99</v>
      </c>
      <c r="F50" s="32" t="s">
        <v>84</v>
      </c>
    </row>
    <row r="51" spans="2:6" x14ac:dyDescent="0.25">
      <c r="B51" s="11" t="s">
        <v>104</v>
      </c>
      <c r="C51" s="10" t="s">
        <v>10</v>
      </c>
      <c r="D51" s="52">
        <f>D26/$D$9</f>
        <v>4.8888888888888888E-3</v>
      </c>
      <c r="E51" s="52">
        <f t="shared" ref="E51:F52" si="8">E26/$D$9</f>
        <v>4.8888888888888888E-3</v>
      </c>
      <c r="F51" s="79">
        <f t="shared" si="8"/>
        <v>4.8888888888888888E-3</v>
      </c>
    </row>
    <row r="52" spans="2:6" x14ac:dyDescent="0.25">
      <c r="B52" s="11" t="s">
        <v>105</v>
      </c>
      <c r="C52" s="10" t="s">
        <v>10</v>
      </c>
      <c r="D52" s="52">
        <f>D27/$D$9</f>
        <v>2.7777777777777779E-3</v>
      </c>
      <c r="E52" s="52">
        <f t="shared" si="8"/>
        <v>1.6666666666666666E-3</v>
      </c>
      <c r="F52" s="79">
        <f t="shared" si="8"/>
        <v>1.1111111111111111E-3</v>
      </c>
    </row>
    <row r="53" spans="2:6" x14ac:dyDescent="0.25">
      <c r="B53" s="11" t="s">
        <v>106</v>
      </c>
      <c r="C53" s="10" t="s">
        <v>10</v>
      </c>
      <c r="D53" s="52">
        <f>D51-D52</f>
        <v>2.1111111111111109E-3</v>
      </c>
      <c r="E53" s="52">
        <f t="shared" ref="E53:F53" si="9">E51-E52</f>
        <v>3.2222222222222222E-3</v>
      </c>
      <c r="F53" s="79">
        <f t="shared" si="9"/>
        <v>3.7777777777777775E-3</v>
      </c>
    </row>
    <row r="54" spans="2:6" x14ac:dyDescent="0.25">
      <c r="B54" s="11" t="s">
        <v>155</v>
      </c>
      <c r="C54" s="10" t="s">
        <v>12</v>
      </c>
      <c r="D54" s="144">
        <v>0.5</v>
      </c>
      <c r="E54" s="144">
        <v>0.5</v>
      </c>
      <c r="F54" s="145">
        <v>0.5</v>
      </c>
    </row>
    <row r="55" spans="2:6" x14ac:dyDescent="0.25">
      <c r="B55" s="11" t="s">
        <v>159</v>
      </c>
      <c r="C55" s="10" t="s">
        <v>160</v>
      </c>
      <c r="D55" s="30">
        <f>D51*D54*1000</f>
        <v>2.4444444444444442</v>
      </c>
      <c r="E55" s="30">
        <f>E51*E54*1000</f>
        <v>2.4444444444444442</v>
      </c>
      <c r="F55" s="26">
        <f>F51*F54*1000</f>
        <v>2.4444444444444442</v>
      </c>
    </row>
    <row r="56" spans="2:6" ht="15.75" thickBot="1" x14ac:dyDescent="0.3">
      <c r="B56" s="81" t="s">
        <v>151</v>
      </c>
      <c r="C56" s="82" t="s">
        <v>152</v>
      </c>
      <c r="D56" s="142">
        <f>D53*$D$42</f>
        <v>2.8499999999999996</v>
      </c>
      <c r="E56" s="142">
        <f t="shared" ref="E56:F56" si="10">E53*$D$42</f>
        <v>4.3499999999999996</v>
      </c>
      <c r="F56" s="143">
        <f t="shared" si="10"/>
        <v>5.0999999999999996</v>
      </c>
    </row>
  </sheetData>
  <mergeCells count="8">
    <mergeCell ref="B40:D40"/>
    <mergeCell ref="B49:F49"/>
    <mergeCell ref="B31:F31"/>
    <mergeCell ref="B2:D2"/>
    <mergeCell ref="B4:D4"/>
    <mergeCell ref="B11:D11"/>
    <mergeCell ref="B18:D18"/>
    <mergeCell ref="B24:F2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7"/>
  <sheetViews>
    <sheetView topLeftCell="A5" workbookViewId="0">
      <selection activeCell="D25" sqref="D25:F28"/>
    </sheetView>
  </sheetViews>
  <sheetFormatPr defaultRowHeight="15" x14ac:dyDescent="0.25"/>
  <cols>
    <col min="2" max="2" width="27" bestFit="1" customWidth="1"/>
    <col min="3" max="3" width="9.85546875" bestFit="1" customWidth="1"/>
    <col min="4" max="6" width="23.7109375" customWidth="1"/>
  </cols>
  <sheetData>
    <row r="1" spans="2:5" ht="15.75" thickBot="1" x14ac:dyDescent="0.3"/>
    <row r="2" spans="2:5" ht="15.75" thickBot="1" x14ac:dyDescent="0.3">
      <c r="B2" s="131" t="s">
        <v>53</v>
      </c>
      <c r="C2" s="132"/>
      <c r="D2" s="133"/>
      <c r="E2" s="53"/>
    </row>
    <row r="3" spans="2:5" ht="15.75" thickBot="1" x14ac:dyDescent="0.3"/>
    <row r="4" spans="2:5" x14ac:dyDescent="0.25">
      <c r="B4" s="134" t="s">
        <v>0</v>
      </c>
      <c r="C4" s="135"/>
      <c r="D4" s="136"/>
      <c r="E4" s="53"/>
    </row>
    <row r="5" spans="2:5" x14ac:dyDescent="0.25">
      <c r="B5" s="7" t="s">
        <v>1</v>
      </c>
      <c r="C5" s="8" t="s">
        <v>4</v>
      </c>
      <c r="D5" s="9" t="s">
        <v>5</v>
      </c>
      <c r="E5" s="54"/>
    </row>
    <row r="6" spans="2:5" x14ac:dyDescent="0.25">
      <c r="B6" s="69" t="s">
        <v>87</v>
      </c>
      <c r="C6" s="70" t="s">
        <v>88</v>
      </c>
      <c r="D6" s="77">
        <v>500</v>
      </c>
      <c r="E6" s="54"/>
    </row>
    <row r="7" spans="2:5" x14ac:dyDescent="0.25">
      <c r="B7" s="69" t="s">
        <v>89</v>
      </c>
      <c r="C7" s="70" t="s">
        <v>90</v>
      </c>
      <c r="D7" s="35">
        <v>3</v>
      </c>
      <c r="E7" s="54"/>
    </row>
    <row r="8" spans="2:5" x14ac:dyDescent="0.25">
      <c r="B8" s="3" t="s">
        <v>2</v>
      </c>
      <c r="C8" s="4" t="s">
        <v>6</v>
      </c>
      <c r="D8" s="35">
        <v>1.5</v>
      </c>
      <c r="E8" s="55"/>
    </row>
    <row r="9" spans="2:5" ht="15.75" thickBot="1" x14ac:dyDescent="0.3">
      <c r="B9" s="5" t="s">
        <v>3</v>
      </c>
      <c r="C9" s="6" t="s">
        <v>7</v>
      </c>
      <c r="D9" s="36">
        <v>20</v>
      </c>
      <c r="E9" s="55"/>
    </row>
    <row r="10" spans="2:5" ht="15.75" thickBot="1" x14ac:dyDescent="0.3"/>
    <row r="11" spans="2:5" x14ac:dyDescent="0.25">
      <c r="B11" s="134" t="s">
        <v>8</v>
      </c>
      <c r="C11" s="135"/>
      <c r="D11" s="136"/>
      <c r="E11" s="53"/>
    </row>
    <row r="12" spans="2:5" x14ac:dyDescent="0.25">
      <c r="B12" s="7" t="s">
        <v>1</v>
      </c>
      <c r="C12" s="8" t="s">
        <v>4</v>
      </c>
      <c r="D12" s="9" t="s">
        <v>5</v>
      </c>
      <c r="E12" s="54"/>
    </row>
    <row r="13" spans="2:5" x14ac:dyDescent="0.25">
      <c r="B13" s="3" t="s">
        <v>50</v>
      </c>
      <c r="C13" s="4" t="s">
        <v>10</v>
      </c>
      <c r="D13" s="37">
        <v>0.22</v>
      </c>
      <c r="E13" s="56"/>
    </row>
    <row r="14" spans="2:5" x14ac:dyDescent="0.25">
      <c r="B14" s="22" t="s">
        <v>13</v>
      </c>
      <c r="C14" s="21" t="s">
        <v>14</v>
      </c>
      <c r="D14" s="95">
        <v>8</v>
      </c>
      <c r="E14" s="76"/>
    </row>
    <row r="15" spans="2:5" ht="15.75" thickBot="1" x14ac:dyDescent="0.3">
      <c r="B15" s="23" t="s">
        <v>11</v>
      </c>
      <c r="C15" s="6" t="s">
        <v>12</v>
      </c>
      <c r="D15" s="96">
        <v>0.25</v>
      </c>
      <c r="E15" s="61"/>
    </row>
    <row r="16" spans="2:5" ht="15.75" thickBot="1" x14ac:dyDescent="0.3"/>
    <row r="17" spans="2:8" x14ac:dyDescent="0.25">
      <c r="B17" s="137" t="s">
        <v>15</v>
      </c>
      <c r="C17" s="138"/>
      <c r="D17" s="139"/>
      <c r="E17" s="58"/>
    </row>
    <row r="18" spans="2:8" x14ac:dyDescent="0.25">
      <c r="B18" s="14" t="s">
        <v>16</v>
      </c>
      <c r="C18" s="15" t="s">
        <v>4</v>
      </c>
      <c r="D18" s="16" t="s">
        <v>5</v>
      </c>
      <c r="E18" s="15"/>
      <c r="H18" s="34"/>
    </row>
    <row r="19" spans="2:8" x14ac:dyDescent="0.25">
      <c r="B19" s="11" t="s">
        <v>82</v>
      </c>
      <c r="C19" s="10" t="s">
        <v>17</v>
      </c>
      <c r="D19" s="39">
        <v>1</v>
      </c>
      <c r="E19" s="59"/>
    </row>
    <row r="20" spans="2:8" x14ac:dyDescent="0.25">
      <c r="B20" s="11" t="s">
        <v>99</v>
      </c>
      <c r="C20" s="10" t="s">
        <v>17</v>
      </c>
      <c r="D20" s="39">
        <v>0.6</v>
      </c>
      <c r="E20" s="59"/>
    </row>
    <row r="21" spans="2:8" ht="15.75" thickBot="1" x14ac:dyDescent="0.3">
      <c r="B21" s="17" t="s">
        <v>84</v>
      </c>
      <c r="C21" s="18" t="s">
        <v>17</v>
      </c>
      <c r="D21" s="40">
        <v>0.4</v>
      </c>
      <c r="E21" s="59"/>
      <c r="H21" s="34"/>
    </row>
    <row r="22" spans="2:8" ht="15.75" thickBot="1" x14ac:dyDescent="0.3"/>
    <row r="23" spans="2:8" ht="15" customHeight="1" x14ac:dyDescent="0.25">
      <c r="B23" s="128" t="s">
        <v>91</v>
      </c>
      <c r="C23" s="129"/>
      <c r="D23" s="129"/>
      <c r="E23" s="129"/>
      <c r="F23" s="130"/>
    </row>
    <row r="24" spans="2:8" x14ac:dyDescent="0.25">
      <c r="B24" s="19" t="s">
        <v>18</v>
      </c>
      <c r="C24" s="20" t="s">
        <v>4</v>
      </c>
      <c r="D24" s="31" t="s">
        <v>82</v>
      </c>
      <c r="E24" s="31" t="s">
        <v>99</v>
      </c>
      <c r="F24" s="32" t="s">
        <v>84</v>
      </c>
    </row>
    <row r="25" spans="2:8" x14ac:dyDescent="0.25">
      <c r="B25" s="11" t="s">
        <v>30</v>
      </c>
      <c r="C25" s="10" t="s">
        <v>19</v>
      </c>
      <c r="D25" s="30">
        <f>$D$9*$D$13</f>
        <v>4.4000000000000004</v>
      </c>
      <c r="E25" s="30">
        <f t="shared" ref="E25:F25" si="0">$D$9*$D$13</f>
        <v>4.4000000000000004</v>
      </c>
      <c r="F25" s="26">
        <f t="shared" si="0"/>
        <v>4.4000000000000004</v>
      </c>
    </row>
    <row r="26" spans="2:8" x14ac:dyDescent="0.25">
      <c r="B26" s="11" t="s">
        <v>31</v>
      </c>
      <c r="C26" s="10" t="s">
        <v>19</v>
      </c>
      <c r="D26" s="30">
        <f>D19*$D$8</f>
        <v>1.5</v>
      </c>
      <c r="E26" s="30">
        <f>D20*$D$8</f>
        <v>0.89999999999999991</v>
      </c>
      <c r="F26" s="26">
        <f>D21*$D$8</f>
        <v>0.60000000000000009</v>
      </c>
    </row>
    <row r="27" spans="2:8" x14ac:dyDescent="0.25">
      <c r="B27" s="11" t="s">
        <v>32</v>
      </c>
      <c r="C27" s="10" t="s">
        <v>19</v>
      </c>
      <c r="D27" s="30">
        <f>D25-D26</f>
        <v>2.9000000000000004</v>
      </c>
      <c r="E27" s="30">
        <f t="shared" ref="E27:F27" si="1">E25-E26</f>
        <v>3.5000000000000004</v>
      </c>
      <c r="F27" s="26">
        <f t="shared" si="1"/>
        <v>3.8000000000000003</v>
      </c>
    </row>
    <row r="28" spans="2:8" ht="15.75" thickBot="1" x14ac:dyDescent="0.3">
      <c r="B28" s="17" t="s">
        <v>33</v>
      </c>
      <c r="C28" s="18" t="s">
        <v>20</v>
      </c>
      <c r="D28" s="33">
        <f>D27*$D$14</f>
        <v>23.200000000000003</v>
      </c>
      <c r="E28" s="33">
        <f t="shared" ref="E28:F28" si="2">E27*$D$14</f>
        <v>28.000000000000004</v>
      </c>
      <c r="F28" s="29">
        <f t="shared" si="2"/>
        <v>30.400000000000002</v>
      </c>
    </row>
    <row r="29" spans="2:8" ht="15.75" thickBot="1" x14ac:dyDescent="0.3"/>
    <row r="30" spans="2:8" x14ac:dyDescent="0.25">
      <c r="B30" s="128" t="s">
        <v>100</v>
      </c>
      <c r="C30" s="129"/>
      <c r="D30" s="129"/>
      <c r="E30" s="129"/>
      <c r="F30" s="130"/>
    </row>
    <row r="31" spans="2:8" x14ac:dyDescent="0.25">
      <c r="B31" s="19" t="s">
        <v>18</v>
      </c>
      <c r="C31" s="20" t="s">
        <v>4</v>
      </c>
      <c r="D31" s="31" t="s">
        <v>82</v>
      </c>
      <c r="E31" s="31" t="s">
        <v>99</v>
      </c>
      <c r="F31" s="32" t="s">
        <v>84</v>
      </c>
    </row>
    <row r="32" spans="2:8" x14ac:dyDescent="0.25">
      <c r="B32" s="11" t="s">
        <v>97</v>
      </c>
      <c r="C32" s="73" t="s">
        <v>93</v>
      </c>
      <c r="D32" s="97">
        <f>D25*$D$14*$D$15*365</f>
        <v>3212.0000000000005</v>
      </c>
      <c r="E32" s="97">
        <f t="shared" ref="E32:F32" si="3">E25*$D$14*$D$15*365</f>
        <v>3212.0000000000005</v>
      </c>
      <c r="F32" s="105">
        <f t="shared" si="3"/>
        <v>3212.0000000000005</v>
      </c>
    </row>
    <row r="33" spans="2:6" x14ac:dyDescent="0.25">
      <c r="B33" s="11" t="s">
        <v>92</v>
      </c>
      <c r="C33" s="10" t="s">
        <v>93</v>
      </c>
      <c r="D33" s="98">
        <f>D28*365*$D$15</f>
        <v>2117.0000000000005</v>
      </c>
      <c r="E33" s="98">
        <f t="shared" ref="E33:F33" si="4">E28*365*$D$15</f>
        <v>2555.0000000000005</v>
      </c>
      <c r="F33" s="99">
        <f t="shared" si="4"/>
        <v>2774</v>
      </c>
    </row>
    <row r="34" spans="2:6" ht="30" x14ac:dyDescent="0.25">
      <c r="B34" s="11" t="s">
        <v>95</v>
      </c>
      <c r="C34" s="10" t="s">
        <v>10</v>
      </c>
      <c r="D34" s="98">
        <f>$D$6/$D$7</f>
        <v>166.66666666666666</v>
      </c>
      <c r="E34" s="98">
        <f t="shared" ref="E34:F34" si="5">$D$6/$D$7</f>
        <v>166.66666666666666</v>
      </c>
      <c r="F34" s="99">
        <f t="shared" si="5"/>
        <v>166.66666666666666</v>
      </c>
    </row>
    <row r="35" spans="2:6" x14ac:dyDescent="0.25">
      <c r="B35" s="11" t="s">
        <v>94</v>
      </c>
      <c r="C35" s="10" t="s">
        <v>10</v>
      </c>
      <c r="D35" s="100">
        <f>D33-D34</f>
        <v>1950.3333333333337</v>
      </c>
      <c r="E35" s="100">
        <f t="shared" ref="E35:F35" si="6">E33-E34</f>
        <v>2388.3333333333339</v>
      </c>
      <c r="F35" s="101">
        <f t="shared" si="6"/>
        <v>2607.3333333333335</v>
      </c>
    </row>
    <row r="36" spans="2:6" x14ac:dyDescent="0.25">
      <c r="B36" s="11" t="s">
        <v>96</v>
      </c>
      <c r="C36" s="10" t="s">
        <v>12</v>
      </c>
      <c r="D36" s="102">
        <f>D35/D32</f>
        <v>0.60720215857202164</v>
      </c>
      <c r="E36" s="102">
        <f>E35/E32</f>
        <v>0.743565794935658</v>
      </c>
      <c r="F36" s="103">
        <f>F35/F32</f>
        <v>0.81174761311747612</v>
      </c>
    </row>
    <row r="37" spans="2:6" ht="15.75" thickBot="1" x14ac:dyDescent="0.3">
      <c r="B37" s="81" t="s">
        <v>98</v>
      </c>
      <c r="C37" s="82" t="s">
        <v>12</v>
      </c>
      <c r="D37" s="85">
        <f>D34/D33</f>
        <v>7.8727759407967224E-2</v>
      </c>
      <c r="E37" s="85">
        <f t="shared" ref="E37:F37" si="7">E34/E33</f>
        <v>6.5231572080887132E-2</v>
      </c>
      <c r="F37" s="86">
        <f t="shared" si="7"/>
        <v>6.0081711127132897E-2</v>
      </c>
    </row>
  </sheetData>
  <mergeCells count="6">
    <mergeCell ref="B30:F30"/>
    <mergeCell ref="B2:D2"/>
    <mergeCell ref="B4:D4"/>
    <mergeCell ref="B11:D11"/>
    <mergeCell ref="B17:D17"/>
    <mergeCell ref="B23:F2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3"/>
  <sheetViews>
    <sheetView topLeftCell="A12" workbookViewId="0">
      <selection activeCell="D13" sqref="D13"/>
    </sheetView>
  </sheetViews>
  <sheetFormatPr defaultRowHeight="15" x14ac:dyDescent="0.25"/>
  <cols>
    <col min="2" max="2" width="39.7109375" customWidth="1"/>
    <col min="3" max="3" width="14" customWidth="1"/>
    <col min="4" max="6" width="23.7109375" customWidth="1"/>
  </cols>
  <sheetData>
    <row r="1" spans="2:6" ht="15.75" thickBot="1" x14ac:dyDescent="0.3"/>
    <row r="2" spans="2:6" ht="15.75" thickBot="1" x14ac:dyDescent="0.3">
      <c r="B2" s="131" t="s">
        <v>52</v>
      </c>
      <c r="C2" s="132"/>
      <c r="D2" s="133"/>
      <c r="E2" s="53"/>
    </row>
    <row r="3" spans="2:6" ht="15.75" thickBot="1" x14ac:dyDescent="0.3"/>
    <row r="4" spans="2:6" x14ac:dyDescent="0.25">
      <c r="B4" s="134" t="s">
        <v>0</v>
      </c>
      <c r="C4" s="135"/>
      <c r="D4" s="136"/>
      <c r="E4" s="53"/>
    </row>
    <row r="5" spans="2:6" x14ac:dyDescent="0.25">
      <c r="B5" s="7" t="s">
        <v>1</v>
      </c>
      <c r="C5" s="8" t="s">
        <v>4</v>
      </c>
      <c r="D5" s="9" t="s">
        <v>5</v>
      </c>
      <c r="E5" s="54"/>
    </row>
    <row r="6" spans="2:6" x14ac:dyDescent="0.25">
      <c r="B6" s="69" t="s">
        <v>87</v>
      </c>
      <c r="C6" s="70" t="s">
        <v>88</v>
      </c>
      <c r="D6" s="77">
        <v>500</v>
      </c>
      <c r="E6" s="104"/>
    </row>
    <row r="7" spans="2:6" x14ac:dyDescent="0.25">
      <c r="B7" s="69" t="s">
        <v>89</v>
      </c>
      <c r="C7" s="70" t="s">
        <v>90</v>
      </c>
      <c r="D7" s="35">
        <v>3</v>
      </c>
      <c r="E7" s="55"/>
    </row>
    <row r="8" spans="2:6" x14ac:dyDescent="0.25">
      <c r="B8" s="3" t="s">
        <v>2</v>
      </c>
      <c r="C8" s="4" t="s">
        <v>6</v>
      </c>
      <c r="D8" s="35">
        <v>0.375</v>
      </c>
      <c r="E8" s="55"/>
    </row>
    <row r="9" spans="2:6" ht="15.75" thickBot="1" x14ac:dyDescent="0.3">
      <c r="B9" s="5" t="s">
        <v>3</v>
      </c>
      <c r="C9" s="6" t="s">
        <v>7</v>
      </c>
      <c r="D9" s="36">
        <v>75</v>
      </c>
      <c r="E9" s="55"/>
    </row>
    <row r="10" spans="2:6" ht="15.75" thickBot="1" x14ac:dyDescent="0.3"/>
    <row r="11" spans="2:6" x14ac:dyDescent="0.25">
      <c r="B11" s="134" t="s">
        <v>8</v>
      </c>
      <c r="C11" s="135"/>
      <c r="D11" s="136"/>
      <c r="E11" s="53"/>
    </row>
    <row r="12" spans="2:6" x14ac:dyDescent="0.25">
      <c r="B12" s="7" t="s">
        <v>1</v>
      </c>
      <c r="C12" s="8" t="s">
        <v>4</v>
      </c>
      <c r="D12" s="9" t="s">
        <v>5</v>
      </c>
      <c r="E12" s="54"/>
      <c r="F12" s="127"/>
    </row>
    <row r="13" spans="2:6" x14ac:dyDescent="0.25">
      <c r="B13" s="3" t="s">
        <v>109</v>
      </c>
      <c r="C13" s="4" t="s">
        <v>48</v>
      </c>
      <c r="D13" s="35">
        <v>90</v>
      </c>
      <c r="E13" s="55"/>
    </row>
    <row r="14" spans="2:6" x14ac:dyDescent="0.25">
      <c r="B14" s="3" t="s">
        <v>47</v>
      </c>
      <c r="C14" s="4" t="s">
        <v>49</v>
      </c>
      <c r="D14" s="37">
        <v>1.51</v>
      </c>
      <c r="E14" s="59"/>
    </row>
    <row r="15" spans="2:6" x14ac:dyDescent="0.25">
      <c r="B15" s="22" t="s">
        <v>13</v>
      </c>
      <c r="C15" s="21" t="s">
        <v>14</v>
      </c>
      <c r="D15" s="35">
        <v>1.4</v>
      </c>
      <c r="E15" s="61"/>
    </row>
    <row r="16" spans="2:6" ht="15.75" thickBot="1" x14ac:dyDescent="0.3">
      <c r="B16" s="23" t="s">
        <v>11</v>
      </c>
      <c r="C16" s="6" t="s">
        <v>12</v>
      </c>
      <c r="D16" s="96">
        <v>1</v>
      </c>
      <c r="E16" s="76"/>
    </row>
    <row r="17" spans="2:8" ht="15.75" thickBot="1" x14ac:dyDescent="0.3"/>
    <row r="18" spans="2:8" x14ac:dyDescent="0.25">
      <c r="B18" s="137" t="s">
        <v>15</v>
      </c>
      <c r="C18" s="138"/>
      <c r="D18" s="139"/>
      <c r="E18" s="58"/>
    </row>
    <row r="19" spans="2:8" x14ac:dyDescent="0.25">
      <c r="B19" s="14" t="s">
        <v>16</v>
      </c>
      <c r="C19" s="15" t="s">
        <v>4</v>
      </c>
      <c r="D19" s="16" t="s">
        <v>5</v>
      </c>
      <c r="E19" s="15"/>
      <c r="H19" s="34"/>
    </row>
    <row r="20" spans="2:8" x14ac:dyDescent="0.25">
      <c r="B20" s="11" t="s">
        <v>82</v>
      </c>
      <c r="C20" s="10" t="s">
        <v>17</v>
      </c>
      <c r="D20" s="39">
        <v>1</v>
      </c>
      <c r="E20" s="59"/>
    </row>
    <row r="21" spans="2:8" x14ac:dyDescent="0.25">
      <c r="B21" s="11" t="s">
        <v>99</v>
      </c>
      <c r="C21" s="10" t="s">
        <v>17</v>
      </c>
      <c r="D21" s="39">
        <v>0.6</v>
      </c>
      <c r="E21" s="59"/>
    </row>
    <row r="22" spans="2:8" ht="15.75" thickBot="1" x14ac:dyDescent="0.3">
      <c r="B22" s="17" t="s">
        <v>84</v>
      </c>
      <c r="C22" s="18" t="s">
        <v>17</v>
      </c>
      <c r="D22" s="40">
        <v>0.4</v>
      </c>
      <c r="E22" s="59"/>
      <c r="H22" s="34"/>
    </row>
    <row r="23" spans="2:8" ht="15.75" thickBot="1" x14ac:dyDescent="0.3"/>
    <row r="24" spans="2:8" ht="15" customHeight="1" x14ac:dyDescent="0.25">
      <c r="B24" s="128" t="s">
        <v>91</v>
      </c>
      <c r="C24" s="129"/>
      <c r="D24" s="129"/>
      <c r="E24" s="129"/>
      <c r="F24" s="130"/>
    </row>
    <row r="25" spans="2:8" x14ac:dyDescent="0.25">
      <c r="B25" s="19" t="s">
        <v>18</v>
      </c>
      <c r="C25" s="20" t="s">
        <v>4</v>
      </c>
      <c r="D25" s="31" t="s">
        <v>82</v>
      </c>
      <c r="E25" s="31" t="s">
        <v>99</v>
      </c>
      <c r="F25" s="32" t="s">
        <v>84</v>
      </c>
    </row>
    <row r="26" spans="2:8" x14ac:dyDescent="0.25">
      <c r="B26" s="11" t="s">
        <v>30</v>
      </c>
      <c r="C26" s="10" t="s">
        <v>19</v>
      </c>
      <c r="D26" s="30">
        <f>$D$9/$D$13*$D$14</f>
        <v>1.2583333333333333</v>
      </c>
      <c r="E26" s="30">
        <f t="shared" ref="E26:F26" si="0">$D$9/$D$13*$D$14</f>
        <v>1.2583333333333333</v>
      </c>
      <c r="F26" s="26">
        <f t="shared" si="0"/>
        <v>1.2583333333333333</v>
      </c>
    </row>
    <row r="27" spans="2:8" x14ac:dyDescent="0.25">
      <c r="B27" s="11" t="s">
        <v>31</v>
      </c>
      <c r="C27" s="10" t="s">
        <v>19</v>
      </c>
      <c r="D27" s="30">
        <f>D20*$D$8</f>
        <v>0.375</v>
      </c>
      <c r="E27" s="30">
        <f>D21*$D$8</f>
        <v>0.22499999999999998</v>
      </c>
      <c r="F27" s="26">
        <f>D22*$D$8</f>
        <v>0.15000000000000002</v>
      </c>
    </row>
    <row r="28" spans="2:8" x14ac:dyDescent="0.25">
      <c r="B28" s="11" t="s">
        <v>32</v>
      </c>
      <c r="C28" s="10" t="s">
        <v>19</v>
      </c>
      <c r="D28" s="30">
        <f>D26-D27</f>
        <v>0.8833333333333333</v>
      </c>
      <c r="E28" s="30">
        <f t="shared" ref="E28:F28" si="1">E26-E27</f>
        <v>1.0333333333333332</v>
      </c>
      <c r="F28" s="26">
        <f t="shared" si="1"/>
        <v>1.1083333333333334</v>
      </c>
    </row>
    <row r="29" spans="2:8" ht="15.75" thickBot="1" x14ac:dyDescent="0.3">
      <c r="B29" s="17" t="s">
        <v>33</v>
      </c>
      <c r="C29" s="18" t="s">
        <v>20</v>
      </c>
      <c r="D29" s="33">
        <f>D28*$D$15</f>
        <v>1.2366666666666666</v>
      </c>
      <c r="E29" s="33">
        <f t="shared" ref="E29:F29" si="2">E28*$D$15</f>
        <v>1.4466666666666663</v>
      </c>
      <c r="F29" s="29">
        <f t="shared" si="2"/>
        <v>1.5516666666666667</v>
      </c>
    </row>
    <row r="30" spans="2:8" ht="15.75" thickBot="1" x14ac:dyDescent="0.3"/>
    <row r="31" spans="2:8" x14ac:dyDescent="0.25">
      <c r="B31" s="128" t="s">
        <v>100</v>
      </c>
      <c r="C31" s="129"/>
      <c r="D31" s="129"/>
      <c r="E31" s="129"/>
      <c r="F31" s="130"/>
    </row>
    <row r="32" spans="2:8" x14ac:dyDescent="0.25">
      <c r="B32" s="19" t="s">
        <v>18</v>
      </c>
      <c r="C32" s="20" t="s">
        <v>4</v>
      </c>
      <c r="D32" s="31" t="s">
        <v>82</v>
      </c>
      <c r="E32" s="31" t="s">
        <v>99</v>
      </c>
      <c r="F32" s="32" t="s">
        <v>84</v>
      </c>
    </row>
    <row r="33" spans="2:6" x14ac:dyDescent="0.25">
      <c r="B33" s="11" t="s">
        <v>97</v>
      </c>
      <c r="C33" s="73" t="s">
        <v>93</v>
      </c>
      <c r="D33" s="97">
        <f>D26*$D$16*$D$15*365</f>
        <v>643.00833333333333</v>
      </c>
      <c r="E33" s="97">
        <f t="shared" ref="E33:F33" si="3">E26*$D$16*$D$15*365</f>
        <v>643.00833333333333</v>
      </c>
      <c r="F33" s="105">
        <f t="shared" si="3"/>
        <v>643.00833333333333</v>
      </c>
    </row>
    <row r="34" spans="2:6" x14ac:dyDescent="0.25">
      <c r="B34" s="11" t="s">
        <v>92</v>
      </c>
      <c r="C34" s="10" t="s">
        <v>93</v>
      </c>
      <c r="D34" s="98">
        <f>D29*365*$D$16</f>
        <v>451.38333333333333</v>
      </c>
      <c r="E34" s="98">
        <f t="shared" ref="E34:F34" si="4">E29*365*$D$16</f>
        <v>528.03333333333319</v>
      </c>
      <c r="F34" s="99">
        <f t="shared" si="4"/>
        <v>566.35833333333335</v>
      </c>
    </row>
    <row r="35" spans="2:6" x14ac:dyDescent="0.25">
      <c r="B35" s="11" t="s">
        <v>95</v>
      </c>
      <c r="C35" s="10" t="s">
        <v>10</v>
      </c>
      <c r="D35" s="98">
        <f>$D$6/$D$7</f>
        <v>166.66666666666666</v>
      </c>
      <c r="E35" s="98">
        <f t="shared" ref="E35:F35" si="5">$D$6/$D$7</f>
        <v>166.66666666666666</v>
      </c>
      <c r="F35" s="99">
        <f t="shared" si="5"/>
        <v>166.66666666666666</v>
      </c>
    </row>
    <row r="36" spans="2:6" x14ac:dyDescent="0.25">
      <c r="B36" s="11" t="s">
        <v>94</v>
      </c>
      <c r="C36" s="10" t="s">
        <v>10</v>
      </c>
      <c r="D36" s="100">
        <f>D34-D35</f>
        <v>284.7166666666667</v>
      </c>
      <c r="E36" s="100">
        <f t="shared" ref="E36:F36" si="6">E34-E35</f>
        <v>361.36666666666656</v>
      </c>
      <c r="F36" s="101">
        <f t="shared" si="6"/>
        <v>399.69166666666672</v>
      </c>
    </row>
    <row r="37" spans="2:6" x14ac:dyDescent="0.25">
      <c r="B37" s="11" t="s">
        <v>96</v>
      </c>
      <c r="C37" s="10" t="s">
        <v>12</v>
      </c>
      <c r="D37" s="102">
        <f>D36/D33</f>
        <v>0.44278845530773325</v>
      </c>
      <c r="E37" s="102">
        <f>E36/E33</f>
        <v>0.56199375332097801</v>
      </c>
      <c r="F37" s="103">
        <f>F36/F33</f>
        <v>0.62159640232760083</v>
      </c>
    </row>
    <row r="38" spans="2:6" ht="15.75" thickBot="1" x14ac:dyDescent="0.3">
      <c r="B38" s="81" t="s">
        <v>98</v>
      </c>
      <c r="C38" s="82" t="s">
        <v>12</v>
      </c>
      <c r="D38" s="85">
        <f>D35/D34</f>
        <v>0.36923531366539897</v>
      </c>
      <c r="E38" s="85">
        <f t="shared" ref="E38:F38" si="7">E35/E34</f>
        <v>0.31563663910106693</v>
      </c>
      <c r="F38" s="86">
        <f t="shared" si="7"/>
        <v>0.29427776878595702</v>
      </c>
    </row>
    <row r="39" spans="2:6" ht="15.75" thickBot="1" x14ac:dyDescent="0.3"/>
    <row r="40" spans="2:6" x14ac:dyDescent="0.25">
      <c r="B40" s="128" t="s">
        <v>143</v>
      </c>
      <c r="C40" s="129"/>
      <c r="D40" s="130"/>
    </row>
    <row r="41" spans="2:6" x14ac:dyDescent="0.25">
      <c r="B41" s="19" t="s">
        <v>18</v>
      </c>
      <c r="C41" s="20" t="s">
        <v>4</v>
      </c>
      <c r="D41" s="32" t="s">
        <v>5</v>
      </c>
    </row>
    <row r="42" spans="2:6" x14ac:dyDescent="0.25">
      <c r="B42" s="11" t="s">
        <v>149</v>
      </c>
      <c r="C42" s="10" t="s">
        <v>145</v>
      </c>
      <c r="D42" s="35">
        <v>370</v>
      </c>
    </row>
    <row r="43" spans="2:6" x14ac:dyDescent="0.25">
      <c r="B43" s="11" t="s">
        <v>146</v>
      </c>
      <c r="C43" s="10" t="s">
        <v>147</v>
      </c>
      <c r="D43" s="35">
        <v>100</v>
      </c>
    </row>
    <row r="44" spans="2:6" x14ac:dyDescent="0.25">
      <c r="B44" s="11" t="s">
        <v>140</v>
      </c>
      <c r="C44" s="10" t="s">
        <v>141</v>
      </c>
      <c r="D44" s="65">
        <f>12*D16*30</f>
        <v>360</v>
      </c>
    </row>
    <row r="45" spans="2:6" x14ac:dyDescent="0.25">
      <c r="B45" s="11" t="s">
        <v>3</v>
      </c>
      <c r="C45" s="10" t="s">
        <v>7</v>
      </c>
      <c r="D45" s="65">
        <f>D9</f>
        <v>75</v>
      </c>
    </row>
    <row r="46" spans="2:6" ht="15.75" thickBot="1" x14ac:dyDescent="0.3">
      <c r="B46" s="17" t="s">
        <v>142</v>
      </c>
      <c r="C46" s="18" t="s">
        <v>14</v>
      </c>
      <c r="D46" s="141">
        <f>D42*D43/D44/D45</f>
        <v>1.3703703703703702</v>
      </c>
    </row>
    <row r="47" spans="2:6" ht="15.75" thickBot="1" x14ac:dyDescent="0.3"/>
    <row r="48" spans="2:6" x14ac:dyDescent="0.25">
      <c r="B48" s="128" t="s">
        <v>103</v>
      </c>
      <c r="C48" s="129"/>
      <c r="D48" s="129"/>
      <c r="E48" s="129"/>
      <c r="F48" s="130"/>
    </row>
    <row r="49" spans="2:6" x14ac:dyDescent="0.25">
      <c r="B49" s="19" t="s">
        <v>18</v>
      </c>
      <c r="C49" s="20" t="s">
        <v>4</v>
      </c>
      <c r="D49" s="31" t="s">
        <v>82</v>
      </c>
      <c r="E49" s="31" t="s">
        <v>99</v>
      </c>
      <c r="F49" s="32" t="s">
        <v>84</v>
      </c>
    </row>
    <row r="50" spans="2:6" x14ac:dyDescent="0.25">
      <c r="B50" s="11" t="s">
        <v>104</v>
      </c>
      <c r="C50" s="10" t="s">
        <v>10</v>
      </c>
      <c r="D50" s="52">
        <f>D26/$D$9</f>
        <v>1.6777777777777777E-2</v>
      </c>
      <c r="E50" s="52">
        <f>E26/$D$9</f>
        <v>1.6777777777777777E-2</v>
      </c>
      <c r="F50" s="79">
        <f>F26/$D$9</f>
        <v>1.6777777777777777E-2</v>
      </c>
    </row>
    <row r="51" spans="2:6" x14ac:dyDescent="0.25">
      <c r="B51" s="11" t="s">
        <v>105</v>
      </c>
      <c r="C51" s="10" t="s">
        <v>10</v>
      </c>
      <c r="D51" s="52">
        <f>D27/$D$9</f>
        <v>5.0000000000000001E-3</v>
      </c>
      <c r="E51" s="52">
        <f>E27/$D$9</f>
        <v>2.9999999999999996E-3</v>
      </c>
      <c r="F51" s="79">
        <f>F27/$D$9</f>
        <v>2.0000000000000005E-3</v>
      </c>
    </row>
    <row r="52" spans="2:6" x14ac:dyDescent="0.25">
      <c r="B52" s="11" t="s">
        <v>106</v>
      </c>
      <c r="C52" s="10" t="s">
        <v>10</v>
      </c>
      <c r="D52" s="52">
        <f>D50-D51</f>
        <v>1.1777777777777776E-2</v>
      </c>
      <c r="E52" s="52">
        <f t="shared" ref="E52:F52" si="8">E50-E51</f>
        <v>1.3777777777777778E-2</v>
      </c>
      <c r="F52" s="79">
        <f t="shared" si="8"/>
        <v>1.4777777777777777E-2</v>
      </c>
    </row>
    <row r="53" spans="2:6" ht="15.75" thickBot="1" x14ac:dyDescent="0.3">
      <c r="B53" s="81" t="s">
        <v>153</v>
      </c>
      <c r="C53" s="82" t="s">
        <v>154</v>
      </c>
      <c r="D53" s="142">
        <f>D52*$D$42</f>
        <v>4.3577777777777769</v>
      </c>
      <c r="E53" s="142">
        <f t="shared" ref="E53:F53" si="9">E52*$D$42</f>
        <v>5.097777777777778</v>
      </c>
      <c r="F53" s="142">
        <f t="shared" si="9"/>
        <v>5.4677777777777772</v>
      </c>
    </row>
  </sheetData>
  <mergeCells count="8">
    <mergeCell ref="B40:D40"/>
    <mergeCell ref="B48:F48"/>
    <mergeCell ref="B31:F31"/>
    <mergeCell ref="B2:D2"/>
    <mergeCell ref="B4:D4"/>
    <mergeCell ref="B11:D11"/>
    <mergeCell ref="B18:D18"/>
    <mergeCell ref="B24:F2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8"/>
  <sheetViews>
    <sheetView topLeftCell="A7" workbookViewId="0">
      <selection activeCell="E21" sqref="E21"/>
    </sheetView>
  </sheetViews>
  <sheetFormatPr defaultRowHeight="15" x14ac:dyDescent="0.25"/>
  <cols>
    <col min="2" max="2" width="31.140625" customWidth="1"/>
    <col min="3" max="3" width="9.85546875" bestFit="1" customWidth="1"/>
    <col min="4" max="6" width="23.7109375" customWidth="1"/>
  </cols>
  <sheetData>
    <row r="1" spans="2:5" ht="15.75" thickBot="1" x14ac:dyDescent="0.3"/>
    <row r="2" spans="2:5" ht="15.75" thickBot="1" x14ac:dyDescent="0.3">
      <c r="B2" s="131" t="s">
        <v>51</v>
      </c>
      <c r="C2" s="132"/>
      <c r="D2" s="133"/>
      <c r="E2" s="53"/>
    </row>
    <row r="3" spans="2:5" ht="15.75" thickBot="1" x14ac:dyDescent="0.3"/>
    <row r="4" spans="2:5" x14ac:dyDescent="0.25">
      <c r="B4" s="134" t="s">
        <v>0</v>
      </c>
      <c r="C4" s="135"/>
      <c r="D4" s="136"/>
      <c r="E4" s="53"/>
    </row>
    <row r="5" spans="2:5" x14ac:dyDescent="0.25">
      <c r="B5" s="7" t="s">
        <v>1</v>
      </c>
      <c r="C5" s="8" t="s">
        <v>4</v>
      </c>
      <c r="D5" s="9" t="s">
        <v>5</v>
      </c>
      <c r="E5" s="54"/>
    </row>
    <row r="6" spans="2:5" x14ac:dyDescent="0.25">
      <c r="B6" s="69" t="s">
        <v>87</v>
      </c>
      <c r="C6" s="70" t="s">
        <v>88</v>
      </c>
      <c r="D6" s="77">
        <v>30</v>
      </c>
      <c r="E6" s="54"/>
    </row>
    <row r="7" spans="2:5" x14ac:dyDescent="0.25">
      <c r="B7" s="69" t="s">
        <v>89</v>
      </c>
      <c r="C7" s="70" t="s">
        <v>90</v>
      </c>
      <c r="D7" s="35">
        <v>3</v>
      </c>
      <c r="E7" s="54"/>
    </row>
    <row r="8" spans="2:5" x14ac:dyDescent="0.25">
      <c r="B8" s="3" t="s">
        <v>2</v>
      </c>
      <c r="C8" s="4" t="s">
        <v>6</v>
      </c>
      <c r="D8" s="35">
        <v>0.35</v>
      </c>
      <c r="E8" s="55"/>
    </row>
    <row r="9" spans="2:5" ht="15.75" thickBot="1" x14ac:dyDescent="0.3">
      <c r="B9" s="5" t="s">
        <v>3</v>
      </c>
      <c r="C9" s="6" t="s">
        <v>55</v>
      </c>
      <c r="D9" s="36">
        <v>30</v>
      </c>
      <c r="E9" s="55"/>
    </row>
    <row r="10" spans="2:5" ht="15.75" thickBot="1" x14ac:dyDescent="0.3"/>
    <row r="11" spans="2:5" x14ac:dyDescent="0.25">
      <c r="B11" s="134" t="s">
        <v>8</v>
      </c>
      <c r="C11" s="135"/>
      <c r="D11" s="136"/>
      <c r="E11" s="53"/>
    </row>
    <row r="12" spans="2:5" x14ac:dyDescent="0.25">
      <c r="B12" s="7" t="s">
        <v>1</v>
      </c>
      <c r="C12" s="8" t="s">
        <v>4</v>
      </c>
      <c r="D12" s="9" t="s">
        <v>5</v>
      </c>
      <c r="E12" s="54"/>
    </row>
    <row r="13" spans="2:5" x14ac:dyDescent="0.25">
      <c r="B13" s="3" t="s">
        <v>58</v>
      </c>
      <c r="C13" s="4" t="s">
        <v>56</v>
      </c>
      <c r="D13" s="35">
        <v>0.5</v>
      </c>
      <c r="E13" s="55"/>
    </row>
    <row r="14" spans="2:5" x14ac:dyDescent="0.25">
      <c r="B14" s="3" t="s">
        <v>57</v>
      </c>
      <c r="C14" s="4" t="s">
        <v>59</v>
      </c>
      <c r="D14" s="39">
        <v>0.22</v>
      </c>
      <c r="E14" s="59"/>
    </row>
    <row r="15" spans="2:5" x14ac:dyDescent="0.25">
      <c r="B15" s="3" t="s">
        <v>60</v>
      </c>
      <c r="C15" s="21" t="s">
        <v>61</v>
      </c>
      <c r="D15" s="44">
        <v>20</v>
      </c>
      <c r="E15" s="75"/>
    </row>
    <row r="16" spans="2:5" x14ac:dyDescent="0.25">
      <c r="B16" s="3" t="s">
        <v>62</v>
      </c>
      <c r="C16" s="21" t="s">
        <v>59</v>
      </c>
      <c r="D16" s="39">
        <f>250/2300</f>
        <v>0.10869565217391304</v>
      </c>
      <c r="E16" s="59"/>
    </row>
    <row r="17" spans="2:9" x14ac:dyDescent="0.25">
      <c r="B17" s="22" t="s">
        <v>13</v>
      </c>
      <c r="C17" s="4" t="s">
        <v>14</v>
      </c>
      <c r="D17" s="148">
        <f>(D15*D13)/D9</f>
        <v>0.33333333333333331</v>
      </c>
      <c r="E17" s="61"/>
    </row>
    <row r="18" spans="2:9" ht="15.75" thickBot="1" x14ac:dyDescent="0.3">
      <c r="B18" s="23" t="s">
        <v>11</v>
      </c>
      <c r="C18" s="24" t="s">
        <v>12</v>
      </c>
      <c r="D18" s="63">
        <v>1</v>
      </c>
    </row>
    <row r="19" spans="2:9" ht="15.75" thickBot="1" x14ac:dyDescent="0.3"/>
    <row r="20" spans="2:9" ht="15" customHeight="1" x14ac:dyDescent="0.25">
      <c r="B20" s="137" t="s">
        <v>15</v>
      </c>
      <c r="C20" s="138"/>
      <c r="D20" s="139"/>
      <c r="E20" s="58"/>
    </row>
    <row r="21" spans="2:9" x14ac:dyDescent="0.25">
      <c r="B21" s="14" t="s">
        <v>16</v>
      </c>
      <c r="C21" s="15" t="s">
        <v>4</v>
      </c>
      <c r="D21" s="16" t="s">
        <v>5</v>
      </c>
      <c r="E21" s="15"/>
      <c r="H21" s="34"/>
    </row>
    <row r="22" spans="2:9" x14ac:dyDescent="0.25">
      <c r="B22" s="11" t="s">
        <v>82</v>
      </c>
      <c r="C22" s="10" t="s">
        <v>17</v>
      </c>
      <c r="D22" s="39">
        <v>1</v>
      </c>
      <c r="E22" s="59"/>
    </row>
    <row r="23" spans="2:9" x14ac:dyDescent="0.25">
      <c r="B23" s="11" t="s">
        <v>83</v>
      </c>
      <c r="C23" s="10" t="s">
        <v>17</v>
      </c>
      <c r="D23" s="39">
        <v>0.6</v>
      </c>
      <c r="E23" s="59"/>
    </row>
    <row r="24" spans="2:9" ht="15.75" thickBot="1" x14ac:dyDescent="0.3">
      <c r="B24" s="17" t="s">
        <v>84</v>
      </c>
      <c r="C24" s="18" t="s">
        <v>17</v>
      </c>
      <c r="D24" s="40">
        <v>0.4</v>
      </c>
      <c r="E24" s="59"/>
      <c r="H24" s="34"/>
    </row>
    <row r="25" spans="2:9" ht="15.75" thickBot="1" x14ac:dyDescent="0.3"/>
    <row r="26" spans="2:9" ht="15" customHeight="1" x14ac:dyDescent="0.25">
      <c r="B26" s="128" t="s">
        <v>91</v>
      </c>
      <c r="C26" s="129"/>
      <c r="D26" s="129"/>
      <c r="E26" s="129"/>
      <c r="F26" s="130"/>
    </row>
    <row r="27" spans="2:9" x14ac:dyDescent="0.25">
      <c r="B27" s="19" t="s">
        <v>18</v>
      </c>
      <c r="C27" s="20" t="s">
        <v>4</v>
      </c>
      <c r="D27" s="31" t="s">
        <v>82</v>
      </c>
      <c r="E27" s="31" t="s">
        <v>99</v>
      </c>
      <c r="F27" s="32" t="s">
        <v>84</v>
      </c>
    </row>
    <row r="28" spans="2:9" x14ac:dyDescent="0.25">
      <c r="B28" s="11" t="s">
        <v>30</v>
      </c>
      <c r="C28" s="10" t="s">
        <v>19</v>
      </c>
      <c r="D28" s="30">
        <f>$D$14/$D$13*$D$9</f>
        <v>13.2</v>
      </c>
      <c r="E28" s="30">
        <f t="shared" ref="E28:F28" si="0">$D$14/$D$13*$D$9</f>
        <v>13.2</v>
      </c>
      <c r="F28" s="26">
        <f t="shared" si="0"/>
        <v>13.2</v>
      </c>
    </row>
    <row r="29" spans="2:9" x14ac:dyDescent="0.25">
      <c r="B29" s="11" t="s">
        <v>31</v>
      </c>
      <c r="C29" s="10" t="s">
        <v>19</v>
      </c>
      <c r="D29" s="30">
        <f>$D$16/$D$13*$D$9+D22*$D$8</f>
        <v>6.8717391304347819</v>
      </c>
      <c r="E29" s="30">
        <f>$D$16/$D$13*$D$9+D23*$D$8</f>
        <v>6.7317391304347822</v>
      </c>
      <c r="F29" s="26">
        <f>$D$16/$D$13*$D$9+D24*$D$8</f>
        <v>6.6617391304347819</v>
      </c>
      <c r="H29" s="34"/>
    </row>
    <row r="30" spans="2:9" x14ac:dyDescent="0.25">
      <c r="B30" s="11" t="s">
        <v>32</v>
      </c>
      <c r="C30" s="10" t="s">
        <v>19</v>
      </c>
      <c r="D30" s="30">
        <f>D28-D29</f>
        <v>6.3282608695652174</v>
      </c>
      <c r="E30" s="30">
        <f>E28-E29</f>
        <v>6.4682608695652171</v>
      </c>
      <c r="F30" s="26">
        <f>F28-F29</f>
        <v>6.5382608695652173</v>
      </c>
      <c r="H30" s="34"/>
      <c r="I30" s="34"/>
    </row>
    <row r="31" spans="2:9" ht="15.75" thickBot="1" x14ac:dyDescent="0.3">
      <c r="B31" s="17" t="s">
        <v>33</v>
      </c>
      <c r="C31" s="18" t="s">
        <v>20</v>
      </c>
      <c r="D31" s="33">
        <f>D30*$D$17</f>
        <v>2.1094202898550725</v>
      </c>
      <c r="E31" s="33">
        <f>E30*$D$17</f>
        <v>2.1560869565217389</v>
      </c>
      <c r="F31" s="29">
        <f>F30*$D$17</f>
        <v>2.1794202898550723</v>
      </c>
    </row>
    <row r="32" spans="2:9" ht="15.75" thickBot="1" x14ac:dyDescent="0.3"/>
    <row r="33" spans="2:6" x14ac:dyDescent="0.25">
      <c r="B33" s="128" t="s">
        <v>94</v>
      </c>
      <c r="C33" s="129"/>
      <c r="D33" s="129"/>
      <c r="E33" s="129"/>
      <c r="F33" s="130"/>
    </row>
    <row r="34" spans="2:6" x14ac:dyDescent="0.25">
      <c r="B34" s="19" t="s">
        <v>18</v>
      </c>
      <c r="C34" s="20" t="s">
        <v>4</v>
      </c>
      <c r="D34" s="31" t="s">
        <v>82</v>
      </c>
      <c r="E34" s="31" t="s">
        <v>99</v>
      </c>
      <c r="F34" s="32" t="s">
        <v>84</v>
      </c>
    </row>
    <row r="35" spans="2:6" x14ac:dyDescent="0.25">
      <c r="B35" s="11" t="s">
        <v>97</v>
      </c>
      <c r="C35" s="73" t="s">
        <v>93</v>
      </c>
      <c r="D35" s="72">
        <f>D28*$D$17*365*$D$18</f>
        <v>1605.9999999999998</v>
      </c>
      <c r="E35" s="72">
        <f>E28*$D$17*365*$D$18</f>
        <v>1605.9999999999998</v>
      </c>
      <c r="F35" s="78">
        <f>F28*$D$17*365*$D$18</f>
        <v>1605.9999999999998</v>
      </c>
    </row>
    <row r="36" spans="2:6" x14ac:dyDescent="0.25">
      <c r="B36" s="11" t="s">
        <v>92</v>
      </c>
      <c r="C36" s="10" t="s">
        <v>93</v>
      </c>
      <c r="D36" s="30">
        <f>D31*365*$D$18</f>
        <v>769.9384057971015</v>
      </c>
      <c r="E36" s="30">
        <f>E31*365*$D$18</f>
        <v>786.97173913043468</v>
      </c>
      <c r="F36" s="26">
        <f>F31*365*$D$18</f>
        <v>795.48840579710134</v>
      </c>
    </row>
    <row r="37" spans="2:6" x14ac:dyDescent="0.25">
      <c r="B37" s="11" t="s">
        <v>95</v>
      </c>
      <c r="C37" s="10" t="s">
        <v>10</v>
      </c>
      <c r="D37" s="30">
        <f>$D$6/$D$7</f>
        <v>10</v>
      </c>
      <c r="E37" s="30">
        <f t="shared" ref="E37:F37" si="1">$D$6/$D$7</f>
        <v>10</v>
      </c>
      <c r="F37" s="26">
        <f t="shared" si="1"/>
        <v>10</v>
      </c>
    </row>
    <row r="38" spans="2:6" x14ac:dyDescent="0.25">
      <c r="B38" s="11" t="s">
        <v>94</v>
      </c>
      <c r="C38" s="10" t="s">
        <v>10</v>
      </c>
      <c r="D38" s="52">
        <f>D36-D37</f>
        <v>759.9384057971015</v>
      </c>
      <c r="E38" s="52">
        <f t="shared" ref="E38:F38" si="2">E36-E37</f>
        <v>776.97173913043468</v>
      </c>
      <c r="F38" s="79">
        <f t="shared" si="2"/>
        <v>785.48840579710134</v>
      </c>
    </row>
    <row r="39" spans="2:6" x14ac:dyDescent="0.25">
      <c r="B39" s="11" t="s">
        <v>96</v>
      </c>
      <c r="C39" s="10" t="s">
        <v>12</v>
      </c>
      <c r="D39" s="74">
        <f>D38/D35</f>
        <v>0.47318705217752277</v>
      </c>
      <c r="E39" s="74">
        <f>E38/E35</f>
        <v>0.48379311278358333</v>
      </c>
      <c r="F39" s="80">
        <f>F38/F35</f>
        <v>0.48909614308661359</v>
      </c>
    </row>
    <row r="40" spans="2:6" ht="15.75" thickBot="1" x14ac:dyDescent="0.3">
      <c r="B40" s="81" t="s">
        <v>98</v>
      </c>
      <c r="C40" s="82" t="s">
        <v>12</v>
      </c>
      <c r="D40" s="114">
        <f>D37/D36</f>
        <v>1.2988051933384469E-2</v>
      </c>
      <c r="E40" s="114">
        <f t="shared" ref="E40:F40" si="3">E37/E36</f>
        <v>1.2706936606198224E-2</v>
      </c>
      <c r="F40" s="115">
        <f t="shared" si="3"/>
        <v>1.257089346258884E-2</v>
      </c>
    </row>
    <row r="41" spans="2:6" ht="15.75" thickBot="1" x14ac:dyDescent="0.3"/>
    <row r="42" spans="2:6" x14ac:dyDescent="0.25">
      <c r="B42" s="128" t="s">
        <v>103</v>
      </c>
      <c r="C42" s="129"/>
      <c r="D42" s="129"/>
      <c r="E42" s="129"/>
      <c r="F42" s="130"/>
    </row>
    <row r="43" spans="2:6" x14ac:dyDescent="0.25">
      <c r="B43" s="19" t="s">
        <v>18</v>
      </c>
      <c r="C43" s="20" t="s">
        <v>4</v>
      </c>
      <c r="D43" s="31" t="s">
        <v>82</v>
      </c>
      <c r="E43" s="31" t="s">
        <v>99</v>
      </c>
      <c r="F43" s="32" t="s">
        <v>84</v>
      </c>
    </row>
    <row r="44" spans="2:6" x14ac:dyDescent="0.25">
      <c r="B44" s="11" t="s">
        <v>110</v>
      </c>
      <c r="C44" s="10" t="s">
        <v>113</v>
      </c>
      <c r="D44" s="52">
        <f>$D$8*D22/$D$9*$D$13</f>
        <v>5.8333333333333327E-3</v>
      </c>
      <c r="E44" s="52">
        <f>$D$8*D23/$D$9*$D$13</f>
        <v>3.5000000000000001E-3</v>
      </c>
      <c r="F44" s="52">
        <f>$D$8*D24/$D$9*$D$13</f>
        <v>2.3333333333333331E-3</v>
      </c>
    </row>
    <row r="45" spans="2:6" x14ac:dyDescent="0.25">
      <c r="B45" s="11" t="s">
        <v>116</v>
      </c>
      <c r="C45" s="10" t="s">
        <v>12</v>
      </c>
      <c r="D45" s="74">
        <f>D44/(D44+$D$16)</f>
        <v>5.0933248971844348E-2</v>
      </c>
      <c r="E45" s="74">
        <f t="shared" ref="E45:F45" si="4">E44/(E44+$D$16)</f>
        <v>3.1195504747142028E-2</v>
      </c>
      <c r="F45" s="74">
        <f t="shared" si="4"/>
        <v>2.1015533220206238E-2</v>
      </c>
    </row>
    <row r="46" spans="2:6" ht="30" x14ac:dyDescent="0.25">
      <c r="B46" s="116" t="s">
        <v>111</v>
      </c>
      <c r="C46" s="10" t="s">
        <v>112</v>
      </c>
      <c r="D46" s="117">
        <f>$D$6/D44</f>
        <v>5142.8571428571431</v>
      </c>
      <c r="E46" s="117">
        <f t="shared" ref="E46:F46" si="5">$D$6/E44</f>
        <v>8571.4285714285706</v>
      </c>
      <c r="F46" s="117">
        <f t="shared" si="5"/>
        <v>12857.142857142859</v>
      </c>
    </row>
    <row r="47" spans="2:6" ht="30" x14ac:dyDescent="0.25">
      <c r="B47" s="116" t="s">
        <v>115</v>
      </c>
      <c r="C47" s="10" t="s">
        <v>114</v>
      </c>
      <c r="D47" s="117">
        <f>D46/$D$15</f>
        <v>257.14285714285717</v>
      </c>
      <c r="E47" s="117">
        <f t="shared" ref="E47:F47" si="6">E46/$D$15</f>
        <v>428.57142857142856</v>
      </c>
      <c r="F47" s="117">
        <f t="shared" si="6"/>
        <v>642.85714285714289</v>
      </c>
    </row>
    <row r="48" spans="2:6" ht="15.75" thickBot="1" x14ac:dyDescent="0.3">
      <c r="B48" s="17" t="s">
        <v>33</v>
      </c>
      <c r="C48" s="18" t="s">
        <v>20</v>
      </c>
      <c r="D48" s="33">
        <f>D47*$D$17</f>
        <v>85.714285714285722</v>
      </c>
      <c r="E48" s="33">
        <f>E47*$D$17</f>
        <v>142.85714285714283</v>
      </c>
      <c r="F48" s="29">
        <f>F47*$D$17</f>
        <v>214.28571428571428</v>
      </c>
    </row>
  </sheetData>
  <mergeCells count="7">
    <mergeCell ref="B33:F33"/>
    <mergeCell ref="B42:F42"/>
    <mergeCell ref="B2:D2"/>
    <mergeCell ref="B4:D4"/>
    <mergeCell ref="B11:D11"/>
    <mergeCell ref="B20:D20"/>
    <mergeCell ref="B26:F2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7"/>
  <sheetViews>
    <sheetView topLeftCell="A7" workbookViewId="0">
      <selection activeCell="F45" sqref="F45"/>
    </sheetView>
  </sheetViews>
  <sheetFormatPr defaultRowHeight="15" x14ac:dyDescent="0.25"/>
  <cols>
    <col min="2" max="2" width="27" bestFit="1" customWidth="1"/>
    <col min="3" max="3" width="9.85546875" bestFit="1" customWidth="1"/>
    <col min="4" max="6" width="23.7109375" customWidth="1"/>
    <col min="9" max="9" width="30.140625" customWidth="1"/>
    <col min="10" max="10" width="10.28515625" customWidth="1"/>
    <col min="11" max="13" width="23.85546875" customWidth="1"/>
  </cols>
  <sheetData>
    <row r="1" spans="2:12" ht="15.75" thickBot="1" x14ac:dyDescent="0.3"/>
    <row r="2" spans="2:12" ht="15.75" thickBot="1" x14ac:dyDescent="0.3">
      <c r="B2" s="131" t="s">
        <v>101</v>
      </c>
      <c r="C2" s="132"/>
      <c r="D2" s="133"/>
      <c r="E2" s="53"/>
      <c r="I2" s="131" t="s">
        <v>102</v>
      </c>
      <c r="J2" s="132"/>
      <c r="K2" s="133"/>
    </row>
    <row r="3" spans="2:12" ht="15.75" thickBot="1" x14ac:dyDescent="0.3"/>
    <row r="4" spans="2:12" x14ac:dyDescent="0.25">
      <c r="B4" s="134" t="s">
        <v>0</v>
      </c>
      <c r="C4" s="135"/>
      <c r="D4" s="136"/>
      <c r="E4" s="53"/>
      <c r="I4" s="134" t="s">
        <v>0</v>
      </c>
      <c r="J4" s="135"/>
      <c r="K4" s="136"/>
      <c r="L4" s="53"/>
    </row>
    <row r="5" spans="2:12" x14ac:dyDescent="0.25">
      <c r="B5" s="7" t="s">
        <v>1</v>
      </c>
      <c r="C5" s="8" t="s">
        <v>4</v>
      </c>
      <c r="D5" s="9" t="s">
        <v>5</v>
      </c>
      <c r="E5" s="54"/>
      <c r="I5" s="7" t="s">
        <v>1</v>
      </c>
      <c r="J5" s="8" t="s">
        <v>4</v>
      </c>
      <c r="K5" s="9" t="s">
        <v>5</v>
      </c>
      <c r="L5" s="54"/>
    </row>
    <row r="6" spans="2:12" x14ac:dyDescent="0.25">
      <c r="B6" s="69" t="s">
        <v>87</v>
      </c>
      <c r="C6" s="70" t="s">
        <v>88</v>
      </c>
      <c r="D6" s="39">
        <v>650</v>
      </c>
      <c r="E6" s="54"/>
      <c r="I6" s="69" t="s">
        <v>87</v>
      </c>
      <c r="J6" s="70" t="s">
        <v>88</v>
      </c>
      <c r="K6" s="77">
        <v>300</v>
      </c>
      <c r="L6" s="54"/>
    </row>
    <row r="7" spans="2:12" x14ac:dyDescent="0.25">
      <c r="B7" s="69" t="s">
        <v>89</v>
      </c>
      <c r="C7" s="70" t="s">
        <v>90</v>
      </c>
      <c r="D7" s="35">
        <v>3</v>
      </c>
      <c r="E7" s="54"/>
      <c r="I7" s="69" t="s">
        <v>89</v>
      </c>
      <c r="J7" s="70" t="s">
        <v>90</v>
      </c>
      <c r="K7" s="35">
        <v>3</v>
      </c>
      <c r="L7" s="54"/>
    </row>
    <row r="8" spans="2:12" x14ac:dyDescent="0.25">
      <c r="B8" s="3" t="s">
        <v>2</v>
      </c>
      <c r="C8" s="4" t="s">
        <v>6</v>
      </c>
      <c r="D8" s="35">
        <v>0.375</v>
      </c>
      <c r="E8" s="55"/>
      <c r="I8" s="3" t="s">
        <v>2</v>
      </c>
      <c r="J8" s="4" t="s">
        <v>6</v>
      </c>
      <c r="K8" s="35">
        <v>3.7</v>
      </c>
      <c r="L8" s="55"/>
    </row>
    <row r="9" spans="2:12" ht="15.75" thickBot="1" x14ac:dyDescent="0.3">
      <c r="B9" s="5" t="s">
        <v>3</v>
      </c>
      <c r="C9" s="6" t="s">
        <v>55</v>
      </c>
      <c r="D9" s="36">
        <v>60</v>
      </c>
      <c r="E9" s="55"/>
      <c r="I9" s="5" t="s">
        <v>3</v>
      </c>
      <c r="J9" s="6" t="s">
        <v>55</v>
      </c>
      <c r="K9" s="36">
        <v>15</v>
      </c>
      <c r="L9" s="55"/>
    </row>
    <row r="10" spans="2:12" ht="15.75" thickBot="1" x14ac:dyDescent="0.3"/>
    <row r="11" spans="2:12" x14ac:dyDescent="0.25">
      <c r="B11" s="134" t="s">
        <v>8</v>
      </c>
      <c r="C11" s="135"/>
      <c r="D11" s="136"/>
      <c r="E11" s="53"/>
      <c r="I11" s="134" t="s">
        <v>8</v>
      </c>
      <c r="J11" s="135"/>
      <c r="K11" s="136"/>
      <c r="L11" s="53"/>
    </row>
    <row r="12" spans="2:12" x14ac:dyDescent="0.25">
      <c r="B12" s="7" t="s">
        <v>1</v>
      </c>
      <c r="C12" s="8" t="s">
        <v>4</v>
      </c>
      <c r="D12" s="9" t="s">
        <v>5</v>
      </c>
      <c r="E12" s="54"/>
      <c r="I12" s="7" t="s">
        <v>1</v>
      </c>
      <c r="J12" s="8" t="s">
        <v>4</v>
      </c>
      <c r="K12" s="9" t="s">
        <v>5</v>
      </c>
      <c r="L12" s="54"/>
    </row>
    <row r="13" spans="2:12" x14ac:dyDescent="0.25">
      <c r="B13" s="3" t="s">
        <v>58</v>
      </c>
      <c r="C13" s="4" t="s">
        <v>56</v>
      </c>
      <c r="D13" s="35">
        <v>0.5</v>
      </c>
      <c r="E13" s="55"/>
      <c r="I13" s="3" t="s">
        <v>58</v>
      </c>
      <c r="J13" s="4" t="s">
        <v>56</v>
      </c>
      <c r="K13" s="35">
        <v>0.5</v>
      </c>
      <c r="L13" s="55"/>
    </row>
    <row r="14" spans="2:12" x14ac:dyDescent="0.25">
      <c r="B14" s="3" t="s">
        <v>57</v>
      </c>
      <c r="C14" s="4" t="s">
        <v>59</v>
      </c>
      <c r="D14" s="39">
        <v>0.22</v>
      </c>
      <c r="E14" s="59"/>
      <c r="I14" s="3" t="s">
        <v>57</v>
      </c>
      <c r="J14" s="4" t="s">
        <v>59</v>
      </c>
      <c r="K14" s="39">
        <v>0.22</v>
      </c>
      <c r="L14" s="59"/>
    </row>
    <row r="15" spans="2:12" x14ac:dyDescent="0.25">
      <c r="B15" s="3" t="s">
        <v>63</v>
      </c>
      <c r="C15" s="21" t="s">
        <v>67</v>
      </c>
      <c r="D15" s="44">
        <v>5</v>
      </c>
      <c r="E15" s="75"/>
      <c r="I15" s="3" t="s">
        <v>63</v>
      </c>
      <c r="J15" s="21" t="s">
        <v>67</v>
      </c>
      <c r="K15" s="44">
        <v>5</v>
      </c>
      <c r="L15" s="75"/>
    </row>
    <row r="16" spans="2:12" x14ac:dyDescent="0.25">
      <c r="B16" s="3" t="s">
        <v>64</v>
      </c>
      <c r="C16" s="21" t="s">
        <v>65</v>
      </c>
      <c r="D16" s="39">
        <v>0.22</v>
      </c>
      <c r="E16" s="59"/>
      <c r="I16" s="3" t="s">
        <v>64</v>
      </c>
      <c r="J16" s="21" t="s">
        <v>65</v>
      </c>
      <c r="K16" s="39">
        <v>0.22</v>
      </c>
      <c r="L16" s="59"/>
    </row>
    <row r="17" spans="2:13" x14ac:dyDescent="0.25">
      <c r="B17" s="3" t="s">
        <v>66</v>
      </c>
      <c r="C17" s="21" t="s">
        <v>59</v>
      </c>
      <c r="D17" s="39">
        <v>0.03</v>
      </c>
      <c r="E17" s="59"/>
      <c r="I17" s="3" t="s">
        <v>66</v>
      </c>
      <c r="J17" s="21" t="s">
        <v>59</v>
      </c>
      <c r="K17" s="39">
        <v>0.03</v>
      </c>
      <c r="L17" s="59"/>
    </row>
    <row r="18" spans="2:13" x14ac:dyDescent="0.25">
      <c r="B18" s="3" t="s">
        <v>70</v>
      </c>
      <c r="C18" s="21" t="s">
        <v>61</v>
      </c>
      <c r="D18" s="44">
        <v>20</v>
      </c>
      <c r="E18" s="75"/>
      <c r="I18" s="3" t="s">
        <v>70</v>
      </c>
      <c r="J18" s="21" t="s">
        <v>61</v>
      </c>
      <c r="K18" s="44">
        <v>20</v>
      </c>
      <c r="L18" s="75"/>
    </row>
    <row r="19" spans="2:13" x14ac:dyDescent="0.25">
      <c r="B19" s="22" t="s">
        <v>13</v>
      </c>
      <c r="C19" s="4" t="s">
        <v>14</v>
      </c>
      <c r="D19" s="106">
        <f>D18*D13/D9</f>
        <v>0.16666666666666666</v>
      </c>
      <c r="E19" s="107"/>
      <c r="I19" s="22" t="s">
        <v>13</v>
      </c>
      <c r="J19" s="4" t="s">
        <v>14</v>
      </c>
      <c r="K19" s="106">
        <f>K18*K13/K9</f>
        <v>0.66666666666666663</v>
      </c>
      <c r="L19" s="76"/>
    </row>
    <row r="20" spans="2:13" ht="15.75" thickBot="1" x14ac:dyDescent="0.3">
      <c r="B20" s="23" t="s">
        <v>11</v>
      </c>
      <c r="C20" s="6" t="s">
        <v>12</v>
      </c>
      <c r="D20" s="63">
        <v>1</v>
      </c>
      <c r="E20" s="108"/>
      <c r="I20" s="23" t="s">
        <v>11</v>
      </c>
      <c r="J20" s="6" t="s">
        <v>12</v>
      </c>
      <c r="K20" s="63">
        <v>1</v>
      </c>
      <c r="L20" s="109"/>
    </row>
    <row r="21" spans="2:13" ht="15.75" thickBot="1" x14ac:dyDescent="0.3"/>
    <row r="22" spans="2:13" x14ac:dyDescent="0.25">
      <c r="B22" s="137" t="s">
        <v>15</v>
      </c>
      <c r="C22" s="138"/>
      <c r="D22" s="139"/>
      <c r="E22" s="58"/>
      <c r="I22" s="137" t="s">
        <v>15</v>
      </c>
      <c r="J22" s="138"/>
      <c r="K22" s="139"/>
      <c r="L22" s="58"/>
    </row>
    <row r="23" spans="2:13" x14ac:dyDescent="0.25">
      <c r="B23" s="45" t="s">
        <v>16</v>
      </c>
      <c r="C23" s="46" t="s">
        <v>4</v>
      </c>
      <c r="D23" s="47" t="s">
        <v>5</v>
      </c>
      <c r="E23" s="15"/>
      <c r="H23" s="34"/>
      <c r="I23" s="14" t="s">
        <v>16</v>
      </c>
      <c r="J23" s="15" t="s">
        <v>4</v>
      </c>
      <c r="K23" s="16" t="s">
        <v>5</v>
      </c>
      <c r="L23" s="15"/>
    </row>
    <row r="24" spans="2:13" x14ac:dyDescent="0.25">
      <c r="B24" s="11" t="s">
        <v>82</v>
      </c>
      <c r="C24" s="10" t="s">
        <v>17</v>
      </c>
      <c r="D24" s="39">
        <v>1</v>
      </c>
      <c r="E24" s="59"/>
      <c r="I24" s="11" t="s">
        <v>82</v>
      </c>
      <c r="J24" s="10" t="s">
        <v>17</v>
      </c>
      <c r="K24" s="39">
        <v>1.5</v>
      </c>
      <c r="L24" s="59"/>
    </row>
    <row r="25" spans="2:13" x14ac:dyDescent="0.25">
      <c r="B25" s="11" t="s">
        <v>99</v>
      </c>
      <c r="C25" s="10" t="s">
        <v>17</v>
      </c>
      <c r="D25" s="39">
        <v>0.6</v>
      </c>
      <c r="E25" s="59"/>
      <c r="I25" s="11" t="s">
        <v>99</v>
      </c>
      <c r="J25" s="10" t="s">
        <v>17</v>
      </c>
      <c r="K25" s="39">
        <v>0.8</v>
      </c>
      <c r="L25" s="59"/>
    </row>
    <row r="26" spans="2:13" ht="15.75" thickBot="1" x14ac:dyDescent="0.3">
      <c r="B26" s="17" t="s">
        <v>84</v>
      </c>
      <c r="C26" s="18" t="s">
        <v>17</v>
      </c>
      <c r="D26" s="40">
        <v>0.4</v>
      </c>
      <c r="E26" s="59"/>
      <c r="H26" s="34"/>
      <c r="I26" s="17" t="s">
        <v>84</v>
      </c>
      <c r="J26" s="18" t="s">
        <v>17</v>
      </c>
      <c r="K26" s="40">
        <v>0.4</v>
      </c>
      <c r="L26" s="59"/>
    </row>
    <row r="27" spans="2:13" ht="15.75" thickBot="1" x14ac:dyDescent="0.3"/>
    <row r="28" spans="2:13" x14ac:dyDescent="0.25">
      <c r="B28" s="128" t="s">
        <v>91</v>
      </c>
      <c r="C28" s="129"/>
      <c r="D28" s="129"/>
      <c r="E28" s="129"/>
      <c r="F28" s="130"/>
      <c r="I28" s="128" t="s">
        <v>91</v>
      </c>
      <c r="J28" s="129"/>
      <c r="K28" s="129"/>
      <c r="L28" s="129"/>
      <c r="M28" s="130"/>
    </row>
    <row r="29" spans="2:13" x14ac:dyDescent="0.25">
      <c r="B29" s="19" t="s">
        <v>18</v>
      </c>
      <c r="C29" s="20" t="s">
        <v>4</v>
      </c>
      <c r="D29" s="31" t="s">
        <v>82</v>
      </c>
      <c r="E29" s="31" t="s">
        <v>99</v>
      </c>
      <c r="F29" s="32" t="s">
        <v>84</v>
      </c>
      <c r="I29" s="19" t="s">
        <v>18</v>
      </c>
      <c r="J29" s="20" t="s">
        <v>4</v>
      </c>
      <c r="K29" s="31" t="s">
        <v>82</v>
      </c>
      <c r="L29" s="31" t="s">
        <v>99</v>
      </c>
      <c r="M29" s="32" t="s">
        <v>84</v>
      </c>
    </row>
    <row r="30" spans="2:13" x14ac:dyDescent="0.25">
      <c r="B30" s="11" t="s">
        <v>30</v>
      </c>
      <c r="C30" s="10" t="s">
        <v>19</v>
      </c>
      <c r="D30" s="30">
        <f>$D$14/$D$13*$D$9</f>
        <v>26.4</v>
      </c>
      <c r="E30" s="30">
        <f t="shared" ref="E30:F30" si="0">$D$14/$D$13*$D$9</f>
        <v>26.4</v>
      </c>
      <c r="F30" s="26">
        <f t="shared" si="0"/>
        <v>26.4</v>
      </c>
      <c r="I30" s="11" t="s">
        <v>30</v>
      </c>
      <c r="J30" s="10" t="s">
        <v>19</v>
      </c>
      <c r="K30" s="30">
        <f>$K$14/$K$13*$K$9</f>
        <v>6.6</v>
      </c>
      <c r="L30" s="30">
        <f t="shared" ref="L30:M30" si="1">$K$14/$K$13*$K$9</f>
        <v>6.6</v>
      </c>
      <c r="M30" s="26">
        <f t="shared" si="1"/>
        <v>6.6</v>
      </c>
    </row>
    <row r="31" spans="2:13" x14ac:dyDescent="0.25">
      <c r="B31" s="11" t="s">
        <v>31</v>
      </c>
      <c r="C31" s="10" t="s">
        <v>19</v>
      </c>
      <c r="D31" s="30">
        <f>$D$8*D24+($D$16/$D$15+$D$17)*($D$9/$D$13)</f>
        <v>9.254999999999999</v>
      </c>
      <c r="E31" s="30">
        <f>$D$8*D25+($D$16/$D$15+$D$17)*($D$9/$D$13)</f>
        <v>9.1049999999999986</v>
      </c>
      <c r="F31" s="26">
        <f>$D$8*D26+($D$16/$D$15+$D$17)*($D$9/$D$13)</f>
        <v>9.0299999999999994</v>
      </c>
      <c r="H31" s="34"/>
      <c r="I31" s="11" t="s">
        <v>31</v>
      </c>
      <c r="J31" s="10" t="s">
        <v>19</v>
      </c>
      <c r="K31" s="30">
        <f>$K$8*K24+($K$16/$K$15+$K$17)*($K$9/$K$13)</f>
        <v>7.7700000000000005</v>
      </c>
      <c r="L31" s="30">
        <f>$K$8*K25+($K$16/$K$15+$K$17)*($K$9/$K$13)</f>
        <v>5.18</v>
      </c>
      <c r="M31" s="26">
        <f>$K$8*K26+($K$16/$K$15+$K$17)*($K$9/$K$13)</f>
        <v>3.7</v>
      </c>
    </row>
    <row r="32" spans="2:13" x14ac:dyDescent="0.25">
      <c r="B32" s="11" t="s">
        <v>32</v>
      </c>
      <c r="C32" s="10" t="s">
        <v>19</v>
      </c>
      <c r="D32" s="30">
        <f>D30-D31</f>
        <v>17.145</v>
      </c>
      <c r="E32" s="30">
        <f t="shared" ref="E32:F32" si="2">E30-E31</f>
        <v>17.295000000000002</v>
      </c>
      <c r="F32" s="26">
        <f t="shared" si="2"/>
        <v>17.369999999999997</v>
      </c>
      <c r="H32" s="34"/>
      <c r="I32" s="11" t="s">
        <v>32</v>
      </c>
      <c r="J32" s="10" t="s">
        <v>19</v>
      </c>
      <c r="K32" s="30">
        <f>K30-K31</f>
        <v>-1.1700000000000008</v>
      </c>
      <c r="L32" s="30">
        <f t="shared" ref="L32:M32" si="3">L30-L31</f>
        <v>1.42</v>
      </c>
      <c r="M32" s="26">
        <f t="shared" si="3"/>
        <v>2.8999999999999995</v>
      </c>
    </row>
    <row r="33" spans="2:13" ht="15.75" thickBot="1" x14ac:dyDescent="0.3">
      <c r="B33" s="17" t="s">
        <v>33</v>
      </c>
      <c r="C33" s="18" t="s">
        <v>20</v>
      </c>
      <c r="D33" s="33">
        <f>D32*$D$19</f>
        <v>2.8574999999999999</v>
      </c>
      <c r="E33" s="33">
        <f t="shared" ref="E33:F33" si="4">E32*$D$19</f>
        <v>2.8825000000000003</v>
      </c>
      <c r="F33" s="29">
        <f t="shared" si="4"/>
        <v>2.8949999999999996</v>
      </c>
      <c r="H33" s="34"/>
      <c r="I33" s="17" t="s">
        <v>33</v>
      </c>
      <c r="J33" s="18" t="s">
        <v>20</v>
      </c>
      <c r="K33" s="33">
        <f>K32*$K$19</f>
        <v>-0.78000000000000047</v>
      </c>
      <c r="L33" s="33">
        <f t="shared" ref="L33:M33" si="5">L32*$K$19</f>
        <v>0.94666666666666655</v>
      </c>
      <c r="M33" s="29">
        <f t="shared" si="5"/>
        <v>1.9333333333333329</v>
      </c>
    </row>
    <row r="34" spans="2:13" ht="15.75" thickBot="1" x14ac:dyDescent="0.3">
      <c r="H34" s="34"/>
    </row>
    <row r="35" spans="2:13" x14ac:dyDescent="0.25">
      <c r="B35" s="128" t="s">
        <v>100</v>
      </c>
      <c r="C35" s="129"/>
      <c r="D35" s="129"/>
      <c r="E35" s="129"/>
      <c r="F35" s="130"/>
      <c r="H35" s="34"/>
      <c r="I35" s="128" t="s">
        <v>100</v>
      </c>
      <c r="J35" s="129"/>
      <c r="K35" s="129"/>
      <c r="L35" s="129"/>
      <c r="M35" s="130"/>
    </row>
    <row r="36" spans="2:13" x14ac:dyDescent="0.25">
      <c r="B36" s="19" t="s">
        <v>18</v>
      </c>
      <c r="C36" s="20" t="s">
        <v>4</v>
      </c>
      <c r="D36" s="31" t="s">
        <v>82</v>
      </c>
      <c r="E36" s="31" t="s">
        <v>99</v>
      </c>
      <c r="F36" s="32" t="s">
        <v>84</v>
      </c>
      <c r="H36" s="34"/>
      <c r="I36" s="19" t="s">
        <v>18</v>
      </c>
      <c r="J36" s="20" t="s">
        <v>4</v>
      </c>
      <c r="K36" s="31" t="s">
        <v>82</v>
      </c>
      <c r="L36" s="31" t="s">
        <v>99</v>
      </c>
      <c r="M36" s="32" t="s">
        <v>84</v>
      </c>
    </row>
    <row r="37" spans="2:13" x14ac:dyDescent="0.25">
      <c r="B37" s="11" t="s">
        <v>97</v>
      </c>
      <c r="C37" s="73" t="s">
        <v>93</v>
      </c>
      <c r="D37" s="97">
        <f>D30*$D$19*$D$20*365</f>
        <v>1605.9999999999998</v>
      </c>
      <c r="E37" s="97">
        <f t="shared" ref="E37:F37" si="6">E30*$D$19*$D$20*365</f>
        <v>1605.9999999999998</v>
      </c>
      <c r="F37" s="105">
        <f t="shared" si="6"/>
        <v>1605.9999999999998</v>
      </c>
      <c r="H37" s="34"/>
      <c r="I37" s="11" t="s">
        <v>97</v>
      </c>
      <c r="J37" s="73" t="s">
        <v>93</v>
      </c>
      <c r="K37" s="97">
        <f>K30*$K$19*$K$20*365</f>
        <v>1605.9999999999998</v>
      </c>
      <c r="L37" s="97">
        <f t="shared" ref="L37:M37" si="7">L30*$K$19*$K$20*365</f>
        <v>1605.9999999999998</v>
      </c>
      <c r="M37" s="105">
        <f t="shared" si="7"/>
        <v>1605.9999999999998</v>
      </c>
    </row>
    <row r="38" spans="2:13" x14ac:dyDescent="0.25">
      <c r="B38" s="11" t="s">
        <v>92</v>
      </c>
      <c r="C38" s="10" t="s">
        <v>93</v>
      </c>
      <c r="D38" s="98">
        <f>D33*365*$D$20</f>
        <v>1042.9875</v>
      </c>
      <c r="E38" s="98">
        <f t="shared" ref="E38:F38" si="8">E33*365*$D$20</f>
        <v>1052.1125000000002</v>
      </c>
      <c r="F38" s="99">
        <f t="shared" si="8"/>
        <v>1056.675</v>
      </c>
      <c r="H38" s="34"/>
      <c r="I38" s="11" t="s">
        <v>92</v>
      </c>
      <c r="J38" s="10" t="s">
        <v>93</v>
      </c>
      <c r="K38" s="98">
        <f>K33*365*$K$20</f>
        <v>-284.70000000000016</v>
      </c>
      <c r="L38" s="98">
        <f t="shared" ref="L38" si="9">L33*365*$K$20</f>
        <v>345.5333333333333</v>
      </c>
      <c r="M38" s="99">
        <f>M33*365*$K$20</f>
        <v>705.66666666666652</v>
      </c>
    </row>
    <row r="39" spans="2:13" ht="30" x14ac:dyDescent="0.25">
      <c r="B39" s="11" t="s">
        <v>95</v>
      </c>
      <c r="C39" s="10" t="s">
        <v>10</v>
      </c>
      <c r="D39" s="98">
        <f>$D$6/$D$7</f>
        <v>216.66666666666666</v>
      </c>
      <c r="E39" s="98">
        <f t="shared" ref="E39:F39" si="10">$D$6/$D$7</f>
        <v>216.66666666666666</v>
      </c>
      <c r="F39" s="99">
        <f t="shared" si="10"/>
        <v>216.66666666666666</v>
      </c>
      <c r="H39" s="34"/>
      <c r="I39" s="11" t="s">
        <v>95</v>
      </c>
      <c r="J39" s="10" t="s">
        <v>10</v>
      </c>
      <c r="K39" s="98">
        <f>$K$6/$K$7</f>
        <v>100</v>
      </c>
      <c r="L39" s="98">
        <f t="shared" ref="L39:M39" si="11">$K$6/$K$7</f>
        <v>100</v>
      </c>
      <c r="M39" s="99">
        <f t="shared" si="11"/>
        <v>100</v>
      </c>
    </row>
    <row r="40" spans="2:13" x14ac:dyDescent="0.25">
      <c r="B40" s="11" t="s">
        <v>94</v>
      </c>
      <c r="C40" s="10" t="s">
        <v>10</v>
      </c>
      <c r="D40" s="100">
        <f>D38-D39</f>
        <v>826.32083333333333</v>
      </c>
      <c r="E40" s="100">
        <f t="shared" ref="E40:F40" si="12">E38-E39</f>
        <v>835.44583333333355</v>
      </c>
      <c r="F40" s="101">
        <f t="shared" si="12"/>
        <v>840.00833333333333</v>
      </c>
      <c r="H40" s="34"/>
      <c r="I40" s="11" t="s">
        <v>94</v>
      </c>
      <c r="J40" s="10" t="s">
        <v>10</v>
      </c>
      <c r="K40" s="100">
        <f>K38-K39</f>
        <v>-384.70000000000016</v>
      </c>
      <c r="L40" s="100">
        <f t="shared" ref="L40" si="13">L38-L39</f>
        <v>245.5333333333333</v>
      </c>
      <c r="M40" s="101">
        <f t="shared" ref="M40" si="14">M38-M39</f>
        <v>605.66666666666652</v>
      </c>
    </row>
    <row r="41" spans="2:13" x14ac:dyDescent="0.25">
      <c r="B41" s="11" t="s">
        <v>96</v>
      </c>
      <c r="C41" s="10" t="s">
        <v>12</v>
      </c>
      <c r="D41" s="102">
        <f>D40/D37</f>
        <v>0.51452106683271071</v>
      </c>
      <c r="E41" s="102">
        <f>E40/E37</f>
        <v>0.52020288501452905</v>
      </c>
      <c r="F41" s="103">
        <f>F40/F37</f>
        <v>0.523043794105438</v>
      </c>
      <c r="H41" s="34"/>
      <c r="I41" s="11" t="s">
        <v>96</v>
      </c>
      <c r="J41" s="10" t="s">
        <v>12</v>
      </c>
      <c r="K41" s="102">
        <f>K40/K37</f>
        <v>-0.23953922789539242</v>
      </c>
      <c r="L41" s="102">
        <f>L40/L37</f>
        <v>0.15288501452885014</v>
      </c>
      <c r="M41" s="103">
        <f>M40/M37</f>
        <v>0.37712743877127436</v>
      </c>
    </row>
    <row r="42" spans="2:13" ht="15.75" thickBot="1" x14ac:dyDescent="0.3">
      <c r="B42" s="81" t="s">
        <v>98</v>
      </c>
      <c r="C42" s="82" t="s">
        <v>12</v>
      </c>
      <c r="D42" s="85">
        <f>D39/D38</f>
        <v>0.20773659000387509</v>
      </c>
      <c r="E42" s="85">
        <f t="shared" ref="E42:F42" si="15">E39/E38</f>
        <v>0.20593488497348583</v>
      </c>
      <c r="F42" s="86">
        <f t="shared" si="15"/>
        <v>0.20504570153232229</v>
      </c>
      <c r="H42" s="34"/>
      <c r="I42" s="81" t="s">
        <v>98</v>
      </c>
      <c r="J42" s="82" t="s">
        <v>12</v>
      </c>
      <c r="K42" s="85">
        <f>K39/K38</f>
        <v>-0.35124692658939216</v>
      </c>
      <c r="L42" s="85">
        <f t="shared" ref="L42:M42" si="16">L39/L38</f>
        <v>0.28940767895041486</v>
      </c>
      <c r="M42" s="86">
        <f t="shared" si="16"/>
        <v>0.14170996693434107</v>
      </c>
    </row>
    <row r="43" spans="2:13" ht="15.75" thickBot="1" x14ac:dyDescent="0.3">
      <c r="H43" s="34"/>
    </row>
    <row r="44" spans="2:13" x14ac:dyDescent="0.25">
      <c r="B44" s="128" t="s">
        <v>103</v>
      </c>
      <c r="C44" s="129"/>
      <c r="D44" s="129"/>
      <c r="E44" s="129"/>
      <c r="F44" s="130"/>
      <c r="I44" s="128" t="s">
        <v>103</v>
      </c>
      <c r="J44" s="129"/>
      <c r="K44" s="129"/>
      <c r="L44" s="129"/>
      <c r="M44" s="130"/>
    </row>
    <row r="45" spans="2:13" x14ac:dyDescent="0.25">
      <c r="B45" s="19" t="s">
        <v>68</v>
      </c>
      <c r="C45" s="20" t="s">
        <v>4</v>
      </c>
      <c r="D45" s="31" t="s">
        <v>82</v>
      </c>
      <c r="E45" s="31" t="s">
        <v>99</v>
      </c>
      <c r="F45" s="32" t="s">
        <v>84</v>
      </c>
      <c r="I45" s="19" t="s">
        <v>68</v>
      </c>
      <c r="J45" s="20" t="s">
        <v>4</v>
      </c>
      <c r="K45" s="31" t="s">
        <v>82</v>
      </c>
      <c r="L45" s="31" t="s">
        <v>99</v>
      </c>
      <c r="M45" s="32" t="s">
        <v>84</v>
      </c>
    </row>
    <row r="46" spans="2:13" x14ac:dyDescent="0.25">
      <c r="B46" s="11" t="s">
        <v>69</v>
      </c>
      <c r="C46" s="73" t="s">
        <v>59</v>
      </c>
      <c r="D46" s="112">
        <f>$D$8*D24/$D$9*$D$13</f>
        <v>3.1250000000000002E-3</v>
      </c>
      <c r="E46" s="112">
        <f>$D$8*D25/$D$9*$D$13</f>
        <v>1.8749999999999997E-3</v>
      </c>
      <c r="F46" s="113">
        <f>$D$8*D26/$D$9*$D$13</f>
        <v>1.2500000000000002E-3</v>
      </c>
      <c r="I46" s="11" t="s">
        <v>69</v>
      </c>
      <c r="J46" s="73" t="s">
        <v>59</v>
      </c>
      <c r="K46" s="112">
        <f>$K$8*K24/$K$9*$K$13</f>
        <v>0.18500000000000003</v>
      </c>
      <c r="L46" s="112">
        <f>$K$8*K25/$K$9*$K$13</f>
        <v>9.866666666666668E-2</v>
      </c>
      <c r="M46" s="112">
        <f>$K$8*K26/$K$9*$K$13</f>
        <v>4.933333333333334E-2</v>
      </c>
    </row>
    <row r="47" spans="2:13" ht="15.75" thickBot="1" x14ac:dyDescent="0.3">
      <c r="B47" s="81" t="s">
        <v>69</v>
      </c>
      <c r="C47" s="82" t="s">
        <v>12</v>
      </c>
      <c r="D47" s="85">
        <f>D46/$D$14</f>
        <v>1.4204545454545456E-2</v>
      </c>
      <c r="E47" s="85">
        <f t="shared" ref="E47:F47" si="17">E46/$D$14</f>
        <v>8.5227272727272721E-3</v>
      </c>
      <c r="F47" s="86">
        <f t="shared" si="17"/>
        <v>5.6818181818181828E-3</v>
      </c>
      <c r="I47" s="81" t="s">
        <v>69</v>
      </c>
      <c r="J47" s="82" t="s">
        <v>12</v>
      </c>
      <c r="K47" s="85">
        <f>K46/$D$14</f>
        <v>0.84090909090909105</v>
      </c>
      <c r="L47" s="85">
        <f t="shared" ref="L47" si="18">L46/$D$14</f>
        <v>0.44848484848484854</v>
      </c>
      <c r="M47" s="86">
        <f t="shared" ref="M47" si="19">M46/$D$14</f>
        <v>0.22424242424242427</v>
      </c>
    </row>
  </sheetData>
  <mergeCells count="14">
    <mergeCell ref="B44:F44"/>
    <mergeCell ref="I44:M44"/>
    <mergeCell ref="B2:D2"/>
    <mergeCell ref="B4:D4"/>
    <mergeCell ref="B11:D11"/>
    <mergeCell ref="B22:D22"/>
    <mergeCell ref="B28:F28"/>
    <mergeCell ref="I4:K4"/>
    <mergeCell ref="I11:K11"/>
    <mergeCell ref="I22:K22"/>
    <mergeCell ref="I28:M28"/>
    <mergeCell ref="B35:F35"/>
    <mergeCell ref="I2:K2"/>
    <mergeCell ref="I35:M3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9"/>
  <sheetViews>
    <sheetView topLeftCell="B18" workbookViewId="0">
      <selection activeCell="E49" sqref="E49"/>
    </sheetView>
  </sheetViews>
  <sheetFormatPr defaultRowHeight="15" x14ac:dyDescent="0.25"/>
  <cols>
    <col min="2" max="2" width="27" bestFit="1" customWidth="1"/>
    <col min="3" max="3" width="18.85546875" customWidth="1"/>
    <col min="4" max="6" width="23.7109375" customWidth="1"/>
    <col min="9" max="9" width="30.140625" customWidth="1"/>
    <col min="10" max="10" width="10.28515625" customWidth="1"/>
    <col min="11" max="13" width="24.28515625" customWidth="1"/>
  </cols>
  <sheetData>
    <row r="1" spans="2:12" ht="15.75" thickBot="1" x14ac:dyDescent="0.3"/>
    <row r="2" spans="2:12" ht="15.75" thickBot="1" x14ac:dyDescent="0.3">
      <c r="B2" s="131" t="s">
        <v>128</v>
      </c>
      <c r="C2" s="132"/>
      <c r="D2" s="133"/>
      <c r="E2" s="53"/>
      <c r="I2" s="131" t="s">
        <v>129</v>
      </c>
      <c r="J2" s="132"/>
      <c r="K2" s="133"/>
      <c r="L2" s="53"/>
    </row>
    <row r="3" spans="2:12" ht="15.75" thickBot="1" x14ac:dyDescent="0.3"/>
    <row r="4" spans="2:12" x14ac:dyDescent="0.25">
      <c r="B4" s="134" t="s">
        <v>0</v>
      </c>
      <c r="C4" s="135"/>
      <c r="D4" s="136"/>
      <c r="E4" s="53"/>
      <c r="I4" s="134" t="s">
        <v>0</v>
      </c>
      <c r="J4" s="135"/>
      <c r="K4" s="136"/>
      <c r="L4" s="53"/>
    </row>
    <row r="5" spans="2:12" x14ac:dyDescent="0.25">
      <c r="B5" s="7" t="s">
        <v>1</v>
      </c>
      <c r="C5" s="8" t="s">
        <v>4</v>
      </c>
      <c r="D5" s="9" t="s">
        <v>5</v>
      </c>
      <c r="E5" s="54"/>
      <c r="I5" s="7" t="s">
        <v>1</v>
      </c>
      <c r="J5" s="8" t="s">
        <v>4</v>
      </c>
      <c r="K5" s="9" t="s">
        <v>5</v>
      </c>
      <c r="L5" s="54"/>
    </row>
    <row r="6" spans="2:12" x14ac:dyDescent="0.25">
      <c r="B6" s="69" t="s">
        <v>87</v>
      </c>
      <c r="C6" s="70" t="s">
        <v>88</v>
      </c>
      <c r="D6" s="77">
        <v>400</v>
      </c>
      <c r="E6" s="54"/>
      <c r="I6" s="69" t="s">
        <v>87</v>
      </c>
      <c r="J6" s="70" t="s">
        <v>88</v>
      </c>
      <c r="K6" s="77">
        <v>400</v>
      </c>
      <c r="L6" s="54"/>
    </row>
    <row r="7" spans="2:12" x14ac:dyDescent="0.25">
      <c r="B7" s="69" t="s">
        <v>89</v>
      </c>
      <c r="C7" s="70" t="s">
        <v>90</v>
      </c>
      <c r="D7" s="35">
        <v>3</v>
      </c>
      <c r="E7" s="54"/>
      <c r="I7" s="69" t="s">
        <v>89</v>
      </c>
      <c r="J7" s="70" t="s">
        <v>90</v>
      </c>
      <c r="K7" s="35">
        <v>3</v>
      </c>
      <c r="L7" s="54"/>
    </row>
    <row r="8" spans="2:12" x14ac:dyDescent="0.25">
      <c r="B8" s="3" t="s">
        <v>2</v>
      </c>
      <c r="C8" s="4" t="s">
        <v>6</v>
      </c>
      <c r="D8" s="35">
        <v>0.6</v>
      </c>
      <c r="E8" s="55"/>
      <c r="I8" s="3" t="s">
        <v>2</v>
      </c>
      <c r="J8" s="4" t="s">
        <v>6</v>
      </c>
      <c r="K8" s="35">
        <v>0.6</v>
      </c>
      <c r="L8" s="55"/>
    </row>
    <row r="9" spans="2:12" x14ac:dyDescent="0.25">
      <c r="B9" s="3" t="s">
        <v>117</v>
      </c>
      <c r="C9" s="21" t="s">
        <v>118</v>
      </c>
      <c r="D9" s="35">
        <v>1.4</v>
      </c>
      <c r="E9" s="55"/>
      <c r="I9" s="3" t="s">
        <v>117</v>
      </c>
      <c r="J9" s="21" t="s">
        <v>118</v>
      </c>
      <c r="K9" s="35">
        <v>1.4</v>
      </c>
      <c r="L9" s="55"/>
    </row>
    <row r="10" spans="2:12" ht="15.75" thickBot="1" x14ac:dyDescent="0.3">
      <c r="B10" s="23" t="s">
        <v>26</v>
      </c>
      <c r="C10" s="6" t="s">
        <v>12</v>
      </c>
      <c r="D10" s="51">
        <v>0.5</v>
      </c>
      <c r="E10" s="110"/>
      <c r="I10" s="23" t="s">
        <v>26</v>
      </c>
      <c r="J10" s="6" t="s">
        <v>12</v>
      </c>
      <c r="K10" s="51">
        <v>0.5</v>
      </c>
      <c r="L10" s="110"/>
    </row>
    <row r="11" spans="2:12" ht="15.75" thickBot="1" x14ac:dyDescent="0.3"/>
    <row r="12" spans="2:12" x14ac:dyDescent="0.25">
      <c r="B12" s="134" t="s">
        <v>8</v>
      </c>
      <c r="C12" s="135"/>
      <c r="D12" s="136"/>
      <c r="E12" s="53"/>
      <c r="I12" s="134" t="s">
        <v>8</v>
      </c>
      <c r="J12" s="135"/>
      <c r="K12" s="136"/>
      <c r="L12" s="53"/>
    </row>
    <row r="13" spans="2:12" x14ac:dyDescent="0.25">
      <c r="B13" s="7" t="s">
        <v>1</v>
      </c>
      <c r="C13" s="8" t="s">
        <v>4</v>
      </c>
      <c r="D13" s="9" t="s">
        <v>5</v>
      </c>
      <c r="E13" s="54"/>
      <c r="I13" s="7" t="s">
        <v>1</v>
      </c>
      <c r="J13" s="8" t="s">
        <v>4</v>
      </c>
      <c r="K13" s="9" t="s">
        <v>5</v>
      </c>
      <c r="L13" s="54"/>
    </row>
    <row r="14" spans="2:12" x14ac:dyDescent="0.25">
      <c r="B14" s="3" t="s">
        <v>22</v>
      </c>
      <c r="C14" s="4" t="s">
        <v>119</v>
      </c>
      <c r="D14" s="44">
        <v>6</v>
      </c>
      <c r="E14" s="59"/>
      <c r="I14" s="3" t="s">
        <v>22</v>
      </c>
      <c r="J14" s="4" t="s">
        <v>119</v>
      </c>
      <c r="K14" s="44">
        <v>6</v>
      </c>
      <c r="L14" s="59"/>
    </row>
    <row r="15" spans="2:12" x14ac:dyDescent="0.25">
      <c r="B15" s="3" t="s">
        <v>120</v>
      </c>
      <c r="C15" s="21" t="s">
        <v>12</v>
      </c>
      <c r="D15" s="118">
        <f>1/6</f>
        <v>0.16666666666666666</v>
      </c>
      <c r="E15" s="59"/>
      <c r="I15" s="3" t="s">
        <v>120</v>
      </c>
      <c r="J15" s="21" t="s">
        <v>12</v>
      </c>
      <c r="K15" s="118">
        <f>1/6</f>
        <v>0.16666666666666666</v>
      </c>
      <c r="L15" s="59"/>
    </row>
    <row r="16" spans="2:12" x14ac:dyDescent="0.25">
      <c r="B16" s="3" t="s">
        <v>121</v>
      </c>
      <c r="C16" s="21" t="s">
        <v>122</v>
      </c>
      <c r="D16" s="44">
        <v>11</v>
      </c>
      <c r="E16" s="59"/>
      <c r="I16" s="3" t="s">
        <v>121</v>
      </c>
      <c r="J16" s="21" t="s">
        <v>122</v>
      </c>
      <c r="K16" s="44">
        <v>11</v>
      </c>
      <c r="L16" s="59"/>
    </row>
    <row r="17" spans="2:13" x14ac:dyDescent="0.25">
      <c r="B17" s="3" t="s">
        <v>123</v>
      </c>
      <c r="C17" s="21" t="s">
        <v>10</v>
      </c>
      <c r="D17" s="119">
        <v>1.4</v>
      </c>
      <c r="E17" s="59"/>
      <c r="I17" s="3" t="s">
        <v>123</v>
      </c>
      <c r="J17" s="21" t="s">
        <v>10</v>
      </c>
      <c r="K17" s="119">
        <f>6500/2300*0.5/0.08</f>
        <v>17.663043478260871</v>
      </c>
      <c r="L17" s="59"/>
    </row>
    <row r="18" spans="2:13" x14ac:dyDescent="0.25">
      <c r="B18" s="3" t="s">
        <v>124</v>
      </c>
      <c r="C18" s="21" t="s">
        <v>125</v>
      </c>
      <c r="D18" s="44">
        <v>0.2</v>
      </c>
      <c r="E18" s="59"/>
      <c r="F18" s="121"/>
      <c r="I18" s="3" t="s">
        <v>124</v>
      </c>
      <c r="J18" s="21" t="s">
        <v>125</v>
      </c>
      <c r="K18" s="44">
        <v>0.2</v>
      </c>
      <c r="L18" s="59"/>
      <c r="M18" s="121"/>
    </row>
    <row r="19" spans="2:13" x14ac:dyDescent="0.25">
      <c r="B19" s="3" t="s">
        <v>126</v>
      </c>
      <c r="C19" s="21" t="s">
        <v>127</v>
      </c>
      <c r="D19" s="120">
        <f>20/2300</f>
        <v>8.6956521739130436E-3</v>
      </c>
      <c r="E19" s="55"/>
      <c r="I19" s="3" t="s">
        <v>126</v>
      </c>
      <c r="J19" s="21" t="s">
        <v>127</v>
      </c>
      <c r="K19" s="120">
        <f>20/2300</f>
        <v>8.6956521739130436E-3</v>
      </c>
      <c r="L19" s="55"/>
    </row>
    <row r="20" spans="2:13" ht="15.75" thickBot="1" x14ac:dyDescent="0.3">
      <c r="B20" s="23" t="s">
        <v>11</v>
      </c>
      <c r="C20" s="6" t="s">
        <v>12</v>
      </c>
      <c r="D20" s="51">
        <v>0.83</v>
      </c>
      <c r="E20" s="110"/>
      <c r="F20" s="121"/>
      <c r="I20" s="23" t="s">
        <v>11</v>
      </c>
      <c r="J20" s="6" t="s">
        <v>12</v>
      </c>
      <c r="K20" s="51">
        <v>0.83</v>
      </c>
      <c r="L20" s="110"/>
    </row>
    <row r="21" spans="2:13" ht="15.75" thickBot="1" x14ac:dyDescent="0.3"/>
    <row r="22" spans="2:13" ht="15" customHeight="1" x14ac:dyDescent="0.25">
      <c r="B22" s="137" t="s">
        <v>15</v>
      </c>
      <c r="C22" s="138"/>
      <c r="D22" s="139"/>
      <c r="E22" s="58"/>
      <c r="I22" s="137" t="s">
        <v>15</v>
      </c>
      <c r="J22" s="138"/>
      <c r="K22" s="139"/>
      <c r="L22" s="58"/>
    </row>
    <row r="23" spans="2:13" x14ac:dyDescent="0.25">
      <c r="B23" s="45" t="s">
        <v>16</v>
      </c>
      <c r="C23" s="46" t="s">
        <v>4</v>
      </c>
      <c r="D23" s="47" t="s">
        <v>5</v>
      </c>
      <c r="E23" s="15"/>
      <c r="H23" s="34"/>
      <c r="I23" s="45" t="s">
        <v>16</v>
      </c>
      <c r="J23" s="46" t="s">
        <v>4</v>
      </c>
      <c r="K23" s="47" t="s">
        <v>5</v>
      </c>
      <c r="L23" s="15"/>
    </row>
    <row r="24" spans="2:13" x14ac:dyDescent="0.25">
      <c r="B24" s="11" t="s">
        <v>82</v>
      </c>
      <c r="C24" s="10" t="s">
        <v>17</v>
      </c>
      <c r="D24" s="39">
        <v>1</v>
      </c>
      <c r="E24" s="59"/>
      <c r="I24" s="11" t="s">
        <v>82</v>
      </c>
      <c r="J24" s="10" t="s">
        <v>17</v>
      </c>
      <c r="K24" s="39">
        <v>1</v>
      </c>
      <c r="L24" s="59"/>
    </row>
    <row r="25" spans="2:13" x14ac:dyDescent="0.25">
      <c r="B25" s="11" t="s">
        <v>99</v>
      </c>
      <c r="C25" s="10" t="s">
        <v>17</v>
      </c>
      <c r="D25" s="39">
        <v>0.6</v>
      </c>
      <c r="E25" s="59"/>
      <c r="I25" s="11" t="s">
        <v>99</v>
      </c>
      <c r="J25" s="10" t="s">
        <v>17</v>
      </c>
      <c r="K25" s="39">
        <v>0.6</v>
      </c>
      <c r="L25" s="59"/>
    </row>
    <row r="26" spans="2:13" ht="15.75" thickBot="1" x14ac:dyDescent="0.3">
      <c r="B26" s="17" t="s">
        <v>84</v>
      </c>
      <c r="C26" s="18" t="s">
        <v>17</v>
      </c>
      <c r="D26" s="40">
        <v>0.4</v>
      </c>
      <c r="E26" s="59"/>
      <c r="H26" s="34"/>
      <c r="I26" s="17" t="s">
        <v>84</v>
      </c>
      <c r="J26" s="18" t="s">
        <v>17</v>
      </c>
      <c r="K26" s="40">
        <v>0.4</v>
      </c>
      <c r="L26" s="59"/>
    </row>
    <row r="27" spans="2:13" ht="15.75" thickBot="1" x14ac:dyDescent="0.3"/>
    <row r="28" spans="2:13" ht="15" customHeight="1" x14ac:dyDescent="0.25">
      <c r="B28" s="128" t="s">
        <v>91</v>
      </c>
      <c r="C28" s="129"/>
      <c r="D28" s="129"/>
      <c r="E28" s="129"/>
      <c r="F28" s="130"/>
      <c r="I28" s="128" t="s">
        <v>91</v>
      </c>
      <c r="J28" s="129"/>
      <c r="K28" s="129"/>
      <c r="L28" s="129"/>
      <c r="M28" s="130"/>
    </row>
    <row r="29" spans="2:13" x14ac:dyDescent="0.25">
      <c r="B29" s="19" t="s">
        <v>18</v>
      </c>
      <c r="C29" s="20" t="s">
        <v>4</v>
      </c>
      <c r="D29" s="31" t="s">
        <v>82</v>
      </c>
      <c r="E29" s="31" t="s">
        <v>99</v>
      </c>
      <c r="F29" s="32" t="s">
        <v>84</v>
      </c>
      <c r="I29" s="19" t="s">
        <v>18</v>
      </c>
      <c r="J29" s="20" t="s">
        <v>4</v>
      </c>
      <c r="K29" s="31" t="s">
        <v>82</v>
      </c>
      <c r="L29" s="31" t="s">
        <v>99</v>
      </c>
      <c r="M29" s="32" t="s">
        <v>84</v>
      </c>
    </row>
    <row r="30" spans="2:13" x14ac:dyDescent="0.25">
      <c r="B30" s="11" t="s">
        <v>30</v>
      </c>
      <c r="C30" s="10" t="s">
        <v>19</v>
      </c>
      <c r="D30" s="30">
        <f>$D$14*$D$15*$D$9*$D$17/$D$16</f>
        <v>0.17818181818181816</v>
      </c>
      <c r="E30" s="30">
        <f t="shared" ref="E30:F30" si="0">$D$14*$D$15*$D$9*$D$17/$D$16</f>
        <v>0.17818181818181816</v>
      </c>
      <c r="F30" s="26">
        <f t="shared" si="0"/>
        <v>0.17818181818181816</v>
      </c>
      <c r="I30" s="11" t="s">
        <v>30</v>
      </c>
      <c r="J30" s="10" t="s">
        <v>19</v>
      </c>
      <c r="K30" s="30">
        <f>$K$14*$K$15*$K$9*$K$17/$K$16</f>
        <v>2.24802371541502</v>
      </c>
      <c r="L30" s="30">
        <f>$K$14*$K$15*$K$9*$K$17/$K$16</f>
        <v>2.24802371541502</v>
      </c>
      <c r="M30" s="26">
        <f>$K$14*$K$15*$K$9*$K$17/$K$16</f>
        <v>2.24802371541502</v>
      </c>
    </row>
    <row r="31" spans="2:13" x14ac:dyDescent="0.25">
      <c r="B31" s="11" t="s">
        <v>31</v>
      </c>
      <c r="C31" s="10" t="s">
        <v>19</v>
      </c>
      <c r="D31" s="30">
        <f>$D$8*$D$10*D24+($D$14*$D$9/$D$18*$D$19)/$D$16</f>
        <v>0.33320158102766795</v>
      </c>
      <c r="E31" s="30">
        <f>$D$8*$D$10*D25+($D$14*$D$9/$D$18*$D$19)/$D$16</f>
        <v>0.21320158102766798</v>
      </c>
      <c r="F31" s="26">
        <f>$D$8*$D$10*D26+($D$14*$D$9/$D$18*$D$19)/$D$16</f>
        <v>0.15320158102766798</v>
      </c>
      <c r="H31" s="34"/>
      <c r="I31" s="11" t="s">
        <v>31</v>
      </c>
      <c r="J31" s="10" t="s">
        <v>19</v>
      </c>
      <c r="K31" s="30">
        <f>$K$8*$K$10*K24+($K$14*$K$9/$K$18*$K$19)/$K$16</f>
        <v>0.33320158102766795</v>
      </c>
      <c r="L31" s="30">
        <f>$K$8*$K$10*K25+($K$14*$K$9/$K$18*$K$19)/$K$16</f>
        <v>0.21320158102766798</v>
      </c>
      <c r="M31" s="26">
        <f>$K$8*$K$10*K26+($K$14*$K$9/$K$18*$K$19)/$K$16</f>
        <v>0.15320158102766798</v>
      </c>
    </row>
    <row r="32" spans="2:13" x14ac:dyDescent="0.25">
      <c r="B32" s="11" t="s">
        <v>32</v>
      </c>
      <c r="C32" s="10" t="s">
        <v>19</v>
      </c>
      <c r="D32" s="30">
        <f>D30-D31</f>
        <v>-0.15501976284584978</v>
      </c>
      <c r="E32" s="30">
        <f t="shared" ref="E32:F32" si="1">E30-E31</f>
        <v>-3.5019762845849817E-2</v>
      </c>
      <c r="F32" s="26">
        <f t="shared" si="1"/>
        <v>2.4980237154150181E-2</v>
      </c>
      <c r="H32" s="34"/>
      <c r="I32" s="11" t="s">
        <v>32</v>
      </c>
      <c r="J32" s="10" t="s">
        <v>19</v>
      </c>
      <c r="K32" s="30">
        <f>K30-K31</f>
        <v>1.9148221343873519</v>
      </c>
      <c r="L32" s="30">
        <f t="shared" ref="L32" si="2">L30-L31</f>
        <v>2.034822134387352</v>
      </c>
      <c r="M32" s="26">
        <f t="shared" ref="M32" si="3">M30-M31</f>
        <v>2.0948221343873521</v>
      </c>
    </row>
    <row r="33" spans="2:13" ht="15.75" thickBot="1" x14ac:dyDescent="0.3">
      <c r="B33" s="17" t="s">
        <v>33</v>
      </c>
      <c r="C33" s="18" t="s">
        <v>20</v>
      </c>
      <c r="D33" s="33">
        <f>D32*$D$16</f>
        <v>-1.7052173913043476</v>
      </c>
      <c r="E33" s="33">
        <f t="shared" ref="E33:F33" si="4">E32*$D$16</f>
        <v>-0.38521739130434796</v>
      </c>
      <c r="F33" s="29">
        <f t="shared" si="4"/>
        <v>0.27478260869565196</v>
      </c>
      <c r="H33" s="34"/>
      <c r="I33" s="17" t="s">
        <v>33</v>
      </c>
      <c r="J33" s="18" t="s">
        <v>20</v>
      </c>
      <c r="K33" s="33">
        <f>K32*$D$16</f>
        <v>21.063043478260873</v>
      </c>
      <c r="L33" s="33">
        <f t="shared" ref="L33" si="5">L32*$D$16</f>
        <v>22.383043478260873</v>
      </c>
      <c r="M33" s="29">
        <f t="shared" ref="M33" si="6">M32*$D$16</f>
        <v>23.043043478260874</v>
      </c>
    </row>
    <row r="34" spans="2:13" ht="15.75" thickBot="1" x14ac:dyDescent="0.3">
      <c r="H34" s="34"/>
    </row>
    <row r="35" spans="2:13" x14ac:dyDescent="0.25">
      <c r="B35" s="128" t="s">
        <v>100</v>
      </c>
      <c r="C35" s="129"/>
      <c r="D35" s="129"/>
      <c r="E35" s="129"/>
      <c r="F35" s="130"/>
      <c r="I35" s="128" t="s">
        <v>100</v>
      </c>
      <c r="J35" s="129"/>
      <c r="K35" s="129"/>
      <c r="L35" s="129"/>
      <c r="M35" s="130"/>
    </row>
    <row r="36" spans="2:13" x14ac:dyDescent="0.25">
      <c r="B36" s="19" t="s">
        <v>18</v>
      </c>
      <c r="C36" s="20" t="s">
        <v>4</v>
      </c>
      <c r="D36" s="31" t="s">
        <v>82</v>
      </c>
      <c r="E36" s="31" t="s">
        <v>99</v>
      </c>
      <c r="F36" s="32" t="s">
        <v>84</v>
      </c>
      <c r="I36" s="19" t="s">
        <v>18</v>
      </c>
      <c r="J36" s="20" t="s">
        <v>4</v>
      </c>
      <c r="K36" s="31" t="s">
        <v>82</v>
      </c>
      <c r="L36" s="31" t="s">
        <v>99</v>
      </c>
      <c r="M36" s="32" t="s">
        <v>84</v>
      </c>
    </row>
    <row r="37" spans="2:13" x14ac:dyDescent="0.25">
      <c r="B37" s="11" t="s">
        <v>97</v>
      </c>
      <c r="C37" s="73" t="s">
        <v>93</v>
      </c>
      <c r="D37" s="97">
        <f>D30*$D$16*$D$20*365</f>
        <v>593.78199999999993</v>
      </c>
      <c r="E37" s="97">
        <f t="shared" ref="E37:F37" si="7">E30*$D$16*$D$20*365</f>
        <v>593.78199999999993</v>
      </c>
      <c r="F37" s="105">
        <f t="shared" si="7"/>
        <v>593.78199999999993</v>
      </c>
      <c r="I37" s="11" t="s">
        <v>97</v>
      </c>
      <c r="J37" s="73" t="s">
        <v>93</v>
      </c>
      <c r="K37" s="97">
        <f>K30*$K$16*$K$20*365</f>
        <v>7491.4266304347821</v>
      </c>
      <c r="L37" s="97">
        <f t="shared" ref="L37:M37" si="8">L30*$K$16*$K$20*365</f>
        <v>7491.4266304347821</v>
      </c>
      <c r="M37" s="105">
        <f t="shared" si="8"/>
        <v>7491.4266304347821</v>
      </c>
    </row>
    <row r="38" spans="2:13" x14ac:dyDescent="0.25">
      <c r="B38" s="11" t="s">
        <v>92</v>
      </c>
      <c r="C38" s="10" t="s">
        <v>93</v>
      </c>
      <c r="D38" s="98">
        <f>D33*365*$D$20</f>
        <v>-516.59560869565212</v>
      </c>
      <c r="E38" s="98">
        <f t="shared" ref="E38:F38" si="9">E33*365*$D$20</f>
        <v>-116.70160869565221</v>
      </c>
      <c r="F38" s="99">
        <f t="shared" si="9"/>
        <v>83.245391304347763</v>
      </c>
      <c r="I38" s="11" t="s">
        <v>92</v>
      </c>
      <c r="J38" s="10" t="s">
        <v>93</v>
      </c>
      <c r="K38" s="98">
        <f>K33*365*$K$20</f>
        <v>6381.0490217391316</v>
      </c>
      <c r="L38" s="98">
        <f t="shared" ref="L38:M38" si="10">L33*365*$K$20</f>
        <v>6780.9430217391318</v>
      </c>
      <c r="M38" s="99">
        <f t="shared" si="10"/>
        <v>6980.890021739131</v>
      </c>
    </row>
    <row r="39" spans="2:13" ht="30" x14ac:dyDescent="0.25">
      <c r="B39" s="11" t="s">
        <v>95</v>
      </c>
      <c r="C39" s="10" t="s">
        <v>10</v>
      </c>
      <c r="D39" s="98">
        <f>$D$6/$D$7</f>
        <v>133.33333333333334</v>
      </c>
      <c r="E39" s="98">
        <f t="shared" ref="E39:F39" si="11">$D$6/$D$7</f>
        <v>133.33333333333334</v>
      </c>
      <c r="F39" s="99">
        <f t="shared" si="11"/>
        <v>133.33333333333334</v>
      </c>
      <c r="I39" s="11" t="s">
        <v>95</v>
      </c>
      <c r="J39" s="10" t="s">
        <v>10</v>
      </c>
      <c r="K39" s="98">
        <f>$D$6/$D$7</f>
        <v>133.33333333333334</v>
      </c>
      <c r="L39" s="98">
        <f t="shared" ref="L39:M39" si="12">$D$6/$D$7</f>
        <v>133.33333333333334</v>
      </c>
      <c r="M39" s="99">
        <f t="shared" si="12"/>
        <v>133.33333333333334</v>
      </c>
    </row>
    <row r="40" spans="2:13" x14ac:dyDescent="0.25">
      <c r="B40" s="11" t="s">
        <v>94</v>
      </c>
      <c r="C40" s="10" t="s">
        <v>10</v>
      </c>
      <c r="D40" s="100">
        <f>D38-D39</f>
        <v>-649.92894202898549</v>
      </c>
      <c r="E40" s="100">
        <f t="shared" ref="E40:F40" si="13">E38-E39</f>
        <v>-250.03494202898554</v>
      </c>
      <c r="F40" s="101">
        <f t="shared" si="13"/>
        <v>-50.08794202898558</v>
      </c>
      <c r="I40" s="11" t="s">
        <v>94</v>
      </c>
      <c r="J40" s="10" t="s">
        <v>10</v>
      </c>
      <c r="K40" s="100">
        <f>K38-K39</f>
        <v>6247.7156884057986</v>
      </c>
      <c r="L40" s="100">
        <f t="shared" ref="L40" si="14">L38-L39</f>
        <v>6647.6096884057988</v>
      </c>
      <c r="M40" s="101">
        <f t="shared" ref="M40" si="15">M38-M39</f>
        <v>6847.556688405798</v>
      </c>
    </row>
    <row r="41" spans="2:13" x14ac:dyDescent="0.25">
      <c r="B41" s="11" t="s">
        <v>96</v>
      </c>
      <c r="C41" s="10" t="s">
        <v>12</v>
      </c>
      <c r="D41" s="102">
        <f>D40/D37</f>
        <v>-1.0945581745977238</v>
      </c>
      <c r="E41" s="102">
        <f>E40/E37</f>
        <v>-0.42108878684262163</v>
      </c>
      <c r="F41" s="103">
        <f>F40/F37</f>
        <v>-8.4354092965070654E-2</v>
      </c>
      <c r="I41" s="11" t="s">
        <v>96</v>
      </c>
      <c r="J41" s="10" t="s">
        <v>12</v>
      </c>
      <c r="K41" s="102">
        <f>K40/K37</f>
        <v>0.83398209668419299</v>
      </c>
      <c r="L41" s="102">
        <f>L40/L37</f>
        <v>0.88736231646441277</v>
      </c>
      <c r="M41" s="103">
        <f>M40/M37</f>
        <v>0.91405242635452255</v>
      </c>
    </row>
    <row r="42" spans="2:13" ht="15.75" thickBot="1" x14ac:dyDescent="0.3">
      <c r="B42" s="81" t="s">
        <v>98</v>
      </c>
      <c r="C42" s="82" t="s">
        <v>12</v>
      </c>
      <c r="D42" s="85">
        <f>D39/D38</f>
        <v>-0.2581000130256344</v>
      </c>
      <c r="E42" s="85">
        <f t="shared" ref="E42:F42" si="16">E39/E38</f>
        <v>-1.1425149560796137</v>
      </c>
      <c r="F42" s="86">
        <f t="shared" si="16"/>
        <v>1.6016902707065488</v>
      </c>
      <c r="I42" s="81" t="s">
        <v>98</v>
      </c>
      <c r="J42" s="82" t="s">
        <v>12</v>
      </c>
      <c r="K42" s="85">
        <f>K39/K38</f>
        <v>2.0895205926030298E-2</v>
      </c>
      <c r="L42" s="85">
        <f t="shared" ref="L42:M42" si="17">L39/L38</f>
        <v>1.9662948487530113E-2</v>
      </c>
      <c r="M42" s="86">
        <f t="shared" si="17"/>
        <v>1.9099761336752352E-2</v>
      </c>
    </row>
    <row r="43" spans="2:13" ht="15.75" thickBot="1" x14ac:dyDescent="0.3"/>
    <row r="44" spans="2:13" x14ac:dyDescent="0.25">
      <c r="B44" s="128" t="s">
        <v>103</v>
      </c>
      <c r="C44" s="129"/>
      <c r="D44" s="129"/>
      <c r="E44" s="129"/>
      <c r="F44" s="130"/>
      <c r="K44" s="34"/>
    </row>
    <row r="45" spans="2:13" x14ac:dyDescent="0.25">
      <c r="B45" s="19" t="s">
        <v>18</v>
      </c>
      <c r="C45" s="20" t="s">
        <v>4</v>
      </c>
      <c r="D45" s="31" t="s">
        <v>82</v>
      </c>
      <c r="E45" s="31" t="s">
        <v>99</v>
      </c>
      <c r="F45" s="32" t="s">
        <v>84</v>
      </c>
    </row>
    <row r="46" spans="2:13" x14ac:dyDescent="0.25">
      <c r="B46" s="11" t="s">
        <v>131</v>
      </c>
      <c r="C46" s="10" t="s">
        <v>127</v>
      </c>
      <c r="D46" s="52">
        <f>$D$18*$D$15*$D$17</f>
        <v>4.6666666666666662E-2</v>
      </c>
      <c r="E46" s="30">
        <f t="shared" ref="E46:F46" si="18">$D$18*$D$15*$D$17</f>
        <v>4.6666666666666662E-2</v>
      </c>
      <c r="F46" s="26">
        <f t="shared" si="18"/>
        <v>4.6666666666666662E-2</v>
      </c>
    </row>
    <row r="47" spans="2:13" x14ac:dyDescent="0.25">
      <c r="B47" s="11" t="s">
        <v>130</v>
      </c>
      <c r="C47" s="10" t="s">
        <v>127</v>
      </c>
      <c r="D47" s="52">
        <f>$D$46-$D$19</f>
        <v>3.797101449275362E-2</v>
      </c>
      <c r="E47" s="30">
        <f>$D$8*$D$10*D41+($D$14*$D$9/$D$18*$D$19)/$D$16</f>
        <v>-0.29516587135164918</v>
      </c>
      <c r="F47" s="26">
        <f>$D$8*$D$10*D42+($D$14*$D$9/$D$18*$D$19)/$D$16</f>
        <v>-4.4228422880022343E-2</v>
      </c>
    </row>
    <row r="48" spans="2:13" x14ac:dyDescent="0.25">
      <c r="B48" s="11" t="s">
        <v>32</v>
      </c>
      <c r="C48" s="10" t="s">
        <v>19</v>
      </c>
      <c r="D48" s="30">
        <f>D46-D47</f>
        <v>8.6956521739130418E-3</v>
      </c>
      <c r="E48" s="30">
        <f t="shared" ref="E48" si="19">E46-E47</f>
        <v>0.34183253801831581</v>
      </c>
      <c r="F48" s="26">
        <f t="shared" ref="F48" si="20">F46-F47</f>
        <v>9.0895089546689012E-2</v>
      </c>
    </row>
    <row r="49" spans="2:6" ht="15.75" thickBot="1" x14ac:dyDescent="0.3">
      <c r="B49" s="17" t="s">
        <v>33</v>
      </c>
      <c r="C49" s="18" t="s">
        <v>20</v>
      </c>
      <c r="D49" s="33">
        <f>D48*$D$16</f>
        <v>9.5652173913043453E-2</v>
      </c>
      <c r="E49" s="33">
        <f t="shared" ref="E49" si="21">E48*$D$16</f>
        <v>3.7601579182014739</v>
      </c>
      <c r="F49" s="29">
        <f t="shared" ref="F49" si="22">F48*$D$16</f>
        <v>0.99984598501357913</v>
      </c>
    </row>
  </sheetData>
  <mergeCells count="13">
    <mergeCell ref="B44:F44"/>
    <mergeCell ref="I2:K2"/>
    <mergeCell ref="I4:K4"/>
    <mergeCell ref="I12:K12"/>
    <mergeCell ref="I22:K22"/>
    <mergeCell ref="I28:M28"/>
    <mergeCell ref="I35:M35"/>
    <mergeCell ref="B2:D2"/>
    <mergeCell ref="B4:D4"/>
    <mergeCell ref="B12:D12"/>
    <mergeCell ref="B22:D22"/>
    <mergeCell ref="B28:F28"/>
    <mergeCell ref="B35:F3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6"/>
  <sheetViews>
    <sheetView topLeftCell="E11" workbookViewId="0">
      <selection activeCell="I32" sqref="I32:M32"/>
    </sheetView>
  </sheetViews>
  <sheetFormatPr defaultRowHeight="15" x14ac:dyDescent="0.25"/>
  <cols>
    <col min="2" max="2" width="37.5703125" customWidth="1"/>
    <col min="3" max="3" width="18.85546875" customWidth="1"/>
    <col min="4" max="8" width="23.7109375" customWidth="1"/>
    <col min="9" max="9" width="36" customWidth="1"/>
    <col min="10" max="10" width="18.85546875" customWidth="1"/>
    <col min="11" max="13" width="23.7109375" customWidth="1"/>
    <col min="16" max="16" width="30.140625" customWidth="1"/>
    <col min="17" max="17" width="10.28515625" customWidth="1"/>
    <col min="18" max="20" width="23.85546875" customWidth="1"/>
  </cols>
  <sheetData>
    <row r="1" spans="2:19" ht="15.75" thickBot="1" x14ac:dyDescent="0.3"/>
    <row r="2" spans="2:19" ht="15.75" thickBot="1" x14ac:dyDescent="0.3">
      <c r="B2" s="131" t="s">
        <v>133</v>
      </c>
      <c r="C2" s="132"/>
      <c r="D2" s="133"/>
      <c r="E2" s="53"/>
      <c r="I2" s="131" t="s">
        <v>132</v>
      </c>
      <c r="J2" s="132"/>
      <c r="K2" s="133"/>
      <c r="L2" s="53"/>
      <c r="P2" s="131" t="s">
        <v>107</v>
      </c>
      <c r="Q2" s="132"/>
      <c r="R2" s="133"/>
      <c r="S2" s="53"/>
    </row>
    <row r="3" spans="2:19" ht="15.75" thickBot="1" x14ac:dyDescent="0.3"/>
    <row r="4" spans="2:19" x14ac:dyDescent="0.25">
      <c r="B4" s="134" t="s">
        <v>0</v>
      </c>
      <c r="C4" s="135"/>
      <c r="D4" s="136"/>
      <c r="E4" s="53"/>
      <c r="I4" s="134" t="s">
        <v>0</v>
      </c>
      <c r="J4" s="135"/>
      <c r="K4" s="136"/>
      <c r="L4" s="53"/>
      <c r="P4" s="134" t="s">
        <v>0</v>
      </c>
      <c r="Q4" s="135"/>
      <c r="R4" s="136"/>
      <c r="S4" s="53"/>
    </row>
    <row r="5" spans="2:19" x14ac:dyDescent="0.25">
      <c r="B5" s="7" t="s">
        <v>1</v>
      </c>
      <c r="C5" s="8" t="s">
        <v>4</v>
      </c>
      <c r="D5" s="9" t="s">
        <v>5</v>
      </c>
      <c r="E5" s="54"/>
      <c r="I5" s="7" t="s">
        <v>1</v>
      </c>
      <c r="J5" s="8" t="s">
        <v>4</v>
      </c>
      <c r="K5" s="9" t="s">
        <v>5</v>
      </c>
      <c r="L5" s="54"/>
      <c r="P5" s="7" t="s">
        <v>1</v>
      </c>
      <c r="Q5" s="8" t="s">
        <v>4</v>
      </c>
      <c r="R5" s="9" t="s">
        <v>5</v>
      </c>
      <c r="S5" s="54"/>
    </row>
    <row r="6" spans="2:19" ht="15.75" thickBot="1" x14ac:dyDescent="0.3">
      <c r="B6" s="69" t="s">
        <v>87</v>
      </c>
      <c r="C6" s="70" t="s">
        <v>88</v>
      </c>
      <c r="D6" s="77">
        <v>1000</v>
      </c>
      <c r="E6" s="54"/>
      <c r="I6" s="69" t="s">
        <v>87</v>
      </c>
      <c r="J6" s="70" t="s">
        <v>88</v>
      </c>
      <c r="K6" s="77">
        <v>1000</v>
      </c>
      <c r="L6" s="54"/>
      <c r="P6" s="48" t="s">
        <v>72</v>
      </c>
      <c r="Q6" s="49" t="s">
        <v>73</v>
      </c>
      <c r="R6" s="50">
        <f>90/2.2</f>
        <v>40.909090909090907</v>
      </c>
      <c r="S6" s="111"/>
    </row>
    <row r="7" spans="2:19" x14ac:dyDescent="0.25">
      <c r="B7" s="69" t="s">
        <v>89</v>
      </c>
      <c r="C7" s="70" t="s">
        <v>90</v>
      </c>
      <c r="D7" s="35">
        <v>3</v>
      </c>
      <c r="E7" s="54"/>
      <c r="I7" s="69" t="s">
        <v>89</v>
      </c>
      <c r="J7" s="70" t="s">
        <v>90</v>
      </c>
      <c r="K7" s="35">
        <v>3</v>
      </c>
      <c r="L7" s="54"/>
    </row>
    <row r="8" spans="2:19" x14ac:dyDescent="0.25">
      <c r="B8" s="3" t="s">
        <v>2</v>
      </c>
      <c r="C8" s="4" t="s">
        <v>6</v>
      </c>
      <c r="D8" s="35">
        <v>4.4000000000000004</v>
      </c>
      <c r="E8" s="55"/>
      <c r="I8" s="3" t="s">
        <v>2</v>
      </c>
      <c r="J8" s="4" t="s">
        <v>6</v>
      </c>
      <c r="K8" s="35">
        <v>4.4000000000000004</v>
      </c>
      <c r="L8" s="55"/>
    </row>
    <row r="9" spans="2:19" ht="15.75" thickBot="1" x14ac:dyDescent="0.3">
      <c r="B9" s="5" t="s">
        <v>3</v>
      </c>
      <c r="C9" s="6" t="s">
        <v>7</v>
      </c>
      <c r="D9" s="36">
        <v>90</v>
      </c>
      <c r="E9" s="55"/>
      <c r="I9" s="5" t="s">
        <v>3</v>
      </c>
      <c r="J9" s="6" t="s">
        <v>7</v>
      </c>
      <c r="K9" s="36">
        <v>90</v>
      </c>
      <c r="L9" s="55"/>
    </row>
    <row r="10" spans="2:19" ht="15.75" thickBot="1" x14ac:dyDescent="0.3"/>
    <row r="11" spans="2:19" x14ac:dyDescent="0.25">
      <c r="B11" s="134" t="s">
        <v>8</v>
      </c>
      <c r="C11" s="135"/>
      <c r="D11" s="136"/>
      <c r="E11" s="53"/>
      <c r="I11" s="134" t="s">
        <v>8</v>
      </c>
      <c r="J11" s="135"/>
      <c r="K11" s="136"/>
      <c r="L11" s="53"/>
      <c r="P11" s="134" t="s">
        <v>8</v>
      </c>
      <c r="Q11" s="135"/>
      <c r="R11" s="136"/>
      <c r="S11" s="53"/>
    </row>
    <row r="12" spans="2:19" x14ac:dyDescent="0.25">
      <c r="B12" s="7" t="s">
        <v>1</v>
      </c>
      <c r="C12" s="8" t="s">
        <v>4</v>
      </c>
      <c r="D12" s="9" t="s">
        <v>5</v>
      </c>
      <c r="E12" s="54"/>
      <c r="I12" s="7" t="s">
        <v>1</v>
      </c>
      <c r="J12" s="8" t="s">
        <v>4</v>
      </c>
      <c r="K12" s="9" t="s">
        <v>5</v>
      </c>
      <c r="L12" s="54"/>
      <c r="P12" s="7" t="s">
        <v>1</v>
      </c>
      <c r="Q12" s="8" t="s">
        <v>4</v>
      </c>
      <c r="R12" s="9" t="s">
        <v>5</v>
      </c>
      <c r="S12" s="54"/>
    </row>
    <row r="13" spans="2:19" x14ac:dyDescent="0.25">
      <c r="B13" s="3" t="s">
        <v>71</v>
      </c>
      <c r="C13" s="4" t="s">
        <v>10</v>
      </c>
      <c r="D13" s="37">
        <v>4.2999999999999997E-2</v>
      </c>
      <c r="E13" s="56"/>
      <c r="I13" s="3" t="s">
        <v>71</v>
      </c>
      <c r="J13" s="4" t="s">
        <v>10</v>
      </c>
      <c r="K13" s="37">
        <f>150/2300</f>
        <v>6.5217391304347824E-2</v>
      </c>
      <c r="L13" s="56"/>
      <c r="P13" s="3" t="s">
        <v>71</v>
      </c>
      <c r="Q13" s="4" t="s">
        <v>10</v>
      </c>
      <c r="R13" s="37">
        <v>4.2999999999999997E-2</v>
      </c>
      <c r="S13" s="56"/>
    </row>
    <row r="14" spans="2:19" x14ac:dyDescent="0.25">
      <c r="B14" s="3" t="s">
        <v>75</v>
      </c>
      <c r="C14" s="21" t="s">
        <v>76</v>
      </c>
      <c r="D14" s="39">
        <f>20000/2300</f>
        <v>8.695652173913043</v>
      </c>
      <c r="E14" s="59"/>
      <c r="I14" s="3" t="s">
        <v>75</v>
      </c>
      <c r="J14" s="21" t="s">
        <v>76</v>
      </c>
      <c r="K14" s="39">
        <f>20000/2300</f>
        <v>8.695652173913043</v>
      </c>
      <c r="L14" s="59"/>
      <c r="P14" s="22" t="s">
        <v>11</v>
      </c>
      <c r="Q14" s="4" t="s">
        <v>12</v>
      </c>
      <c r="R14" s="42">
        <v>0.75</v>
      </c>
      <c r="S14" s="76"/>
    </row>
    <row r="15" spans="2:19" ht="15.75" thickBot="1" x14ac:dyDescent="0.3">
      <c r="B15" s="3" t="s">
        <v>74</v>
      </c>
      <c r="C15" s="21" t="s">
        <v>77</v>
      </c>
      <c r="D15" s="35">
        <v>75</v>
      </c>
      <c r="E15" s="55"/>
      <c r="I15" s="3" t="s">
        <v>74</v>
      </c>
      <c r="J15" s="21" t="s">
        <v>77</v>
      </c>
      <c r="K15" s="35">
        <v>75</v>
      </c>
      <c r="L15" s="55"/>
      <c r="P15" s="23" t="s">
        <v>13</v>
      </c>
      <c r="Q15" s="6" t="s">
        <v>14</v>
      </c>
      <c r="R15" s="36">
        <v>5</v>
      </c>
      <c r="S15" s="55"/>
    </row>
    <row r="16" spans="2:19" x14ac:dyDescent="0.25">
      <c r="B16" s="3" t="s">
        <v>13</v>
      </c>
      <c r="C16" s="4" t="s">
        <v>14</v>
      </c>
      <c r="D16" s="35">
        <v>5</v>
      </c>
      <c r="I16" s="3" t="s">
        <v>13</v>
      </c>
      <c r="J16" s="4" t="s">
        <v>14</v>
      </c>
      <c r="K16" s="124">
        <v>1.2</v>
      </c>
    </row>
    <row r="17" spans="2:20" ht="15.75" thickBot="1" x14ac:dyDescent="0.3">
      <c r="B17" s="23" t="s">
        <v>11</v>
      </c>
      <c r="C17" s="6" t="s">
        <v>12</v>
      </c>
      <c r="D17" s="96">
        <v>0.75</v>
      </c>
      <c r="E17" s="55"/>
      <c r="I17" s="23" t="s">
        <v>11</v>
      </c>
      <c r="J17" s="6" t="s">
        <v>12</v>
      </c>
      <c r="K17" s="96">
        <v>1</v>
      </c>
      <c r="L17" s="55"/>
    </row>
    <row r="18" spans="2:20" ht="15.75" thickBot="1" x14ac:dyDescent="0.3"/>
    <row r="19" spans="2:20" ht="15" customHeight="1" x14ac:dyDescent="0.25">
      <c r="B19" s="137" t="s">
        <v>15</v>
      </c>
      <c r="C19" s="138"/>
      <c r="D19" s="139"/>
      <c r="E19" s="58"/>
      <c r="I19" s="137" t="s">
        <v>15</v>
      </c>
      <c r="J19" s="138"/>
      <c r="K19" s="139"/>
      <c r="L19" s="58"/>
      <c r="P19" s="137" t="s">
        <v>15</v>
      </c>
      <c r="Q19" s="138"/>
      <c r="R19" s="139"/>
      <c r="S19" s="58"/>
    </row>
    <row r="20" spans="2:20" x14ac:dyDescent="0.25">
      <c r="B20" s="45" t="s">
        <v>16</v>
      </c>
      <c r="C20" s="46" t="s">
        <v>4</v>
      </c>
      <c r="D20" s="47" t="s">
        <v>5</v>
      </c>
      <c r="E20" s="15"/>
      <c r="I20" s="45" t="s">
        <v>16</v>
      </c>
      <c r="J20" s="46" t="s">
        <v>4</v>
      </c>
      <c r="K20" s="47" t="s">
        <v>5</v>
      </c>
      <c r="L20" s="15"/>
      <c r="O20" s="34"/>
      <c r="P20" s="45" t="s">
        <v>16</v>
      </c>
      <c r="Q20" s="46" t="s">
        <v>4</v>
      </c>
      <c r="R20" s="47" t="s">
        <v>5</v>
      </c>
      <c r="S20" s="15"/>
    </row>
    <row r="21" spans="2:20" x14ac:dyDescent="0.25">
      <c r="B21" s="11" t="s">
        <v>82</v>
      </c>
      <c r="C21" s="10" t="s">
        <v>17</v>
      </c>
      <c r="D21" s="39">
        <v>1</v>
      </c>
      <c r="E21" s="59"/>
      <c r="I21" s="11" t="s">
        <v>82</v>
      </c>
      <c r="J21" s="10" t="s">
        <v>17</v>
      </c>
      <c r="K21" s="39">
        <v>1</v>
      </c>
      <c r="L21" s="59"/>
      <c r="P21" s="11" t="s">
        <v>82</v>
      </c>
      <c r="Q21" s="10" t="s">
        <v>17</v>
      </c>
      <c r="R21" s="39">
        <v>1.5</v>
      </c>
      <c r="S21" s="59"/>
    </row>
    <row r="22" spans="2:20" x14ac:dyDescent="0.25">
      <c r="B22" s="11" t="s">
        <v>99</v>
      </c>
      <c r="C22" s="10" t="s">
        <v>17</v>
      </c>
      <c r="D22" s="39">
        <v>0.6</v>
      </c>
      <c r="E22" s="59"/>
      <c r="I22" s="11" t="s">
        <v>99</v>
      </c>
      <c r="J22" s="10" t="s">
        <v>17</v>
      </c>
      <c r="K22" s="39">
        <v>0.6</v>
      </c>
      <c r="L22" s="59"/>
      <c r="P22" s="11" t="s">
        <v>99</v>
      </c>
      <c r="Q22" s="10" t="s">
        <v>17</v>
      </c>
      <c r="R22" s="39">
        <v>0.8</v>
      </c>
      <c r="S22" s="59"/>
    </row>
    <row r="23" spans="2:20" ht="15.75" thickBot="1" x14ac:dyDescent="0.3">
      <c r="B23" s="17" t="s">
        <v>84</v>
      </c>
      <c r="C23" s="18" t="s">
        <v>17</v>
      </c>
      <c r="D23" s="40">
        <v>0.4</v>
      </c>
      <c r="E23" s="59"/>
      <c r="I23" s="17" t="s">
        <v>84</v>
      </c>
      <c r="J23" s="18" t="s">
        <v>17</v>
      </c>
      <c r="K23" s="40">
        <v>0.4</v>
      </c>
      <c r="L23" s="59"/>
      <c r="O23" s="34"/>
      <c r="P23" s="17" t="s">
        <v>84</v>
      </c>
      <c r="Q23" s="18" t="s">
        <v>17</v>
      </c>
      <c r="R23" s="40">
        <v>0.4</v>
      </c>
      <c r="S23" s="59"/>
    </row>
    <row r="24" spans="2:20" ht="15.75" thickBot="1" x14ac:dyDescent="0.3"/>
    <row r="25" spans="2:20" ht="15" customHeight="1" x14ac:dyDescent="0.25">
      <c r="B25" s="128" t="s">
        <v>91</v>
      </c>
      <c r="C25" s="129"/>
      <c r="D25" s="129"/>
      <c r="E25" s="129"/>
      <c r="F25" s="130"/>
      <c r="G25" s="122"/>
      <c r="H25" s="122"/>
      <c r="I25" s="128" t="s">
        <v>91</v>
      </c>
      <c r="J25" s="129"/>
      <c r="K25" s="129"/>
      <c r="L25" s="129"/>
      <c r="M25" s="130"/>
      <c r="P25" s="128" t="s">
        <v>81</v>
      </c>
      <c r="Q25" s="129"/>
      <c r="R25" s="129"/>
      <c r="S25" s="129"/>
      <c r="T25" s="130"/>
    </row>
    <row r="26" spans="2:20" x14ac:dyDescent="0.25">
      <c r="B26" s="19" t="s">
        <v>18</v>
      </c>
      <c r="C26" s="20" t="s">
        <v>4</v>
      </c>
      <c r="D26" s="31" t="s">
        <v>82</v>
      </c>
      <c r="E26" s="31" t="s">
        <v>99</v>
      </c>
      <c r="F26" s="32" t="s">
        <v>84</v>
      </c>
      <c r="G26" s="71"/>
      <c r="H26" s="71"/>
      <c r="I26" s="19" t="s">
        <v>18</v>
      </c>
      <c r="J26" s="20" t="s">
        <v>4</v>
      </c>
      <c r="K26" s="31" t="s">
        <v>82</v>
      </c>
      <c r="L26" s="31" t="s">
        <v>99</v>
      </c>
      <c r="M26" s="32" t="s">
        <v>84</v>
      </c>
      <c r="P26" s="19" t="s">
        <v>18</v>
      </c>
      <c r="Q26" s="20" t="s">
        <v>4</v>
      </c>
      <c r="R26" s="31" t="s">
        <v>82</v>
      </c>
      <c r="S26" s="31" t="s">
        <v>99</v>
      </c>
      <c r="T26" s="32" t="s">
        <v>84</v>
      </c>
    </row>
    <row r="27" spans="2:20" x14ac:dyDescent="0.25">
      <c r="B27" s="11" t="s">
        <v>30</v>
      </c>
      <c r="C27" s="10" t="s">
        <v>19</v>
      </c>
      <c r="D27" s="30">
        <f>$D$13*$D$9</f>
        <v>3.8699999999999997</v>
      </c>
      <c r="E27" s="30">
        <f t="shared" ref="E27:F27" si="0">$D$13*$D$9</f>
        <v>3.8699999999999997</v>
      </c>
      <c r="F27" s="26">
        <f t="shared" si="0"/>
        <v>3.8699999999999997</v>
      </c>
      <c r="G27" s="30"/>
      <c r="H27" s="30"/>
      <c r="I27" s="11" t="s">
        <v>30</v>
      </c>
      <c r="J27" s="10" t="s">
        <v>19</v>
      </c>
      <c r="K27" s="30">
        <f>$K$13*$K$9</f>
        <v>5.8695652173913038</v>
      </c>
      <c r="L27" s="30">
        <f t="shared" ref="L27:M27" si="1">$K$13*$K$9</f>
        <v>5.8695652173913038</v>
      </c>
      <c r="M27" s="26">
        <f t="shared" si="1"/>
        <v>5.8695652173913038</v>
      </c>
      <c r="P27" s="11" t="s">
        <v>30</v>
      </c>
      <c r="Q27" s="10" t="s">
        <v>17</v>
      </c>
      <c r="R27" s="30">
        <f>R13*R6</f>
        <v>1.7590909090909088</v>
      </c>
      <c r="S27" s="30"/>
      <c r="T27" s="26">
        <f>R13*R9</f>
        <v>0</v>
      </c>
    </row>
    <row r="28" spans="2:20" x14ac:dyDescent="0.25">
      <c r="B28" s="11" t="s">
        <v>31</v>
      </c>
      <c r="C28" s="10" t="s">
        <v>19</v>
      </c>
      <c r="D28" s="30">
        <f>D21*$D$8+$D$14/$D$15</f>
        <v>4.5159420289855072</v>
      </c>
      <c r="E28" s="30">
        <f>D22*$D$8+$D$14/$D$15</f>
        <v>2.7559420289855074</v>
      </c>
      <c r="F28" s="26">
        <f>D23*$D$8+$D$14/$D$15</f>
        <v>1.8759420289855075</v>
      </c>
      <c r="G28" s="30"/>
      <c r="H28" s="30"/>
      <c r="I28" s="11" t="s">
        <v>31</v>
      </c>
      <c r="J28" s="10" t="s">
        <v>19</v>
      </c>
      <c r="K28" s="30">
        <f>K21*$K$8+$K$14/$K$15</f>
        <v>4.5159420289855072</v>
      </c>
      <c r="L28" s="30">
        <f>K22*$K$8+$K$14/$K$15</f>
        <v>2.7559420289855074</v>
      </c>
      <c r="M28" s="26">
        <f>K23*$K$8+$K$14/$K$15</f>
        <v>1.8759420289855075</v>
      </c>
      <c r="O28" s="34"/>
      <c r="P28" s="11" t="s">
        <v>31</v>
      </c>
      <c r="Q28" s="10" t="s">
        <v>17</v>
      </c>
      <c r="R28" s="30">
        <f>R21</f>
        <v>1.5</v>
      </c>
      <c r="S28" s="30"/>
      <c r="T28" s="26">
        <f>R23/R14</f>
        <v>0.53333333333333333</v>
      </c>
    </row>
    <row r="29" spans="2:20" x14ac:dyDescent="0.25">
      <c r="B29" s="11" t="s">
        <v>32</v>
      </c>
      <c r="C29" s="10" t="s">
        <v>19</v>
      </c>
      <c r="D29" s="30">
        <f>D27-D28</f>
        <v>-0.64594202898550757</v>
      </c>
      <c r="E29" s="30">
        <f t="shared" ref="E29:F29" si="2">E27-E28</f>
        <v>1.1140579710144922</v>
      </c>
      <c r="F29" s="26">
        <f t="shared" si="2"/>
        <v>1.9940579710144921</v>
      </c>
      <c r="G29" s="30"/>
      <c r="H29" s="30"/>
      <c r="I29" s="11" t="s">
        <v>32</v>
      </c>
      <c r="J29" s="10" t="s">
        <v>19</v>
      </c>
      <c r="K29" s="30">
        <f>K27-K28</f>
        <v>1.3536231884057965</v>
      </c>
      <c r="L29" s="30">
        <f t="shared" ref="L29" si="3">L27-L28</f>
        <v>3.1136231884057963</v>
      </c>
      <c r="M29" s="26">
        <f t="shared" ref="M29" si="4">M27-M28</f>
        <v>3.9936231884057962</v>
      </c>
      <c r="O29" s="34"/>
      <c r="P29" s="11" t="s">
        <v>32</v>
      </c>
      <c r="Q29" s="10" t="s">
        <v>17</v>
      </c>
      <c r="R29" s="30">
        <f>R27-R28</f>
        <v>0.25909090909090882</v>
      </c>
      <c r="S29" s="30"/>
      <c r="T29" s="26">
        <f>T27-T28</f>
        <v>-0.53333333333333333</v>
      </c>
    </row>
    <row r="30" spans="2:20" ht="15.75" thickBot="1" x14ac:dyDescent="0.3">
      <c r="B30" s="17" t="s">
        <v>33</v>
      </c>
      <c r="C30" s="18" t="s">
        <v>20</v>
      </c>
      <c r="D30" s="33">
        <f>D29*$D$16</f>
        <v>-3.2297101449275378</v>
      </c>
      <c r="E30" s="33">
        <f t="shared" ref="E30:F30" si="5">E29*$D$16</f>
        <v>5.5702898550724615</v>
      </c>
      <c r="F30" s="29">
        <f t="shared" si="5"/>
        <v>9.9702898550724601</v>
      </c>
      <c r="G30" s="30"/>
      <c r="H30" s="30"/>
      <c r="I30" s="17" t="s">
        <v>33</v>
      </c>
      <c r="J30" s="18" t="s">
        <v>20</v>
      </c>
      <c r="K30" s="33">
        <f>K29*$K$16</f>
        <v>1.6243478260869557</v>
      </c>
      <c r="L30" s="33">
        <f>L29*$K$16</f>
        <v>3.7363478260869556</v>
      </c>
      <c r="M30" s="29">
        <f>M29*$K$16</f>
        <v>4.7923478260869556</v>
      </c>
      <c r="O30" s="34"/>
      <c r="P30" s="17" t="s">
        <v>33</v>
      </c>
      <c r="Q30" s="18" t="s">
        <v>20</v>
      </c>
      <c r="R30" s="33">
        <f>R29*R15</f>
        <v>1.2954545454545441</v>
      </c>
      <c r="S30" s="33"/>
      <c r="T30" s="29">
        <f>T29*R15</f>
        <v>-2.6666666666666665</v>
      </c>
    </row>
    <row r="31" spans="2:20" ht="15.75" thickBot="1" x14ac:dyDescent="0.3">
      <c r="O31" s="34"/>
    </row>
    <row r="32" spans="2:20" ht="14.45" customHeight="1" x14ac:dyDescent="0.25">
      <c r="B32" s="128" t="s">
        <v>100</v>
      </c>
      <c r="C32" s="129"/>
      <c r="D32" s="129"/>
      <c r="E32" s="129"/>
      <c r="F32" s="130"/>
      <c r="G32" s="122"/>
      <c r="H32" s="122"/>
      <c r="I32" s="128" t="s">
        <v>100</v>
      </c>
      <c r="J32" s="129"/>
      <c r="K32" s="129"/>
      <c r="L32" s="129"/>
      <c r="M32" s="130"/>
      <c r="O32" s="34"/>
    </row>
    <row r="33" spans="2:15" x14ac:dyDescent="0.25">
      <c r="B33" s="19" t="s">
        <v>18</v>
      </c>
      <c r="C33" s="20" t="s">
        <v>4</v>
      </c>
      <c r="D33" s="31" t="s">
        <v>82</v>
      </c>
      <c r="E33" s="31" t="s">
        <v>99</v>
      </c>
      <c r="F33" s="32" t="s">
        <v>84</v>
      </c>
      <c r="G33" s="71"/>
      <c r="H33" s="71"/>
      <c r="I33" s="19" t="s">
        <v>18</v>
      </c>
      <c r="J33" s="20" t="s">
        <v>4</v>
      </c>
      <c r="K33" s="31" t="s">
        <v>82</v>
      </c>
      <c r="L33" s="31" t="s">
        <v>99</v>
      </c>
      <c r="M33" s="32" t="s">
        <v>84</v>
      </c>
      <c r="O33" s="34"/>
    </row>
    <row r="34" spans="2:15" x14ac:dyDescent="0.25">
      <c r="B34" s="11" t="s">
        <v>97</v>
      </c>
      <c r="C34" s="73" t="s">
        <v>93</v>
      </c>
      <c r="D34" s="97">
        <f>D27*$D$16*$D$17*365</f>
        <v>5297.0625</v>
      </c>
      <c r="E34" s="97">
        <f t="shared" ref="E34:F34" si="6">E27*$D$16*$D$17*365</f>
        <v>5297.0625</v>
      </c>
      <c r="F34" s="105">
        <f t="shared" si="6"/>
        <v>5297.0625</v>
      </c>
      <c r="G34" s="97"/>
      <c r="H34" s="97"/>
      <c r="I34" s="11" t="s">
        <v>97</v>
      </c>
      <c r="J34" s="73" t="s">
        <v>93</v>
      </c>
      <c r="K34" s="97">
        <f>K27*$K$16*$K$17*365</f>
        <v>2570.869565217391</v>
      </c>
      <c r="L34" s="97">
        <f t="shared" ref="L34:M34" si="7">L27*$K$16*$K$17*365</f>
        <v>2570.869565217391</v>
      </c>
      <c r="M34" s="105">
        <f t="shared" si="7"/>
        <v>2570.869565217391</v>
      </c>
      <c r="O34" s="34"/>
    </row>
    <row r="35" spans="2:15" x14ac:dyDescent="0.25">
      <c r="B35" s="11" t="s">
        <v>92</v>
      </c>
      <c r="C35" s="10" t="s">
        <v>93</v>
      </c>
      <c r="D35" s="98">
        <f>D30*365*$D$17</f>
        <v>-884.13315217391346</v>
      </c>
      <c r="E35" s="98">
        <f t="shared" ref="E35:F35" si="8">E30*365*$D$17</f>
        <v>1524.8668478260865</v>
      </c>
      <c r="F35" s="99">
        <f t="shared" si="8"/>
        <v>2729.3668478260861</v>
      </c>
      <c r="G35" s="98"/>
      <c r="H35" s="98"/>
      <c r="I35" s="11" t="s">
        <v>92</v>
      </c>
      <c r="J35" s="10" t="s">
        <v>93</v>
      </c>
      <c r="K35" s="98">
        <f>K30*365*$K$17</f>
        <v>592.88695652173885</v>
      </c>
      <c r="L35" s="98">
        <f t="shared" ref="L35:M35" si="9">L30*365*$K$17</f>
        <v>1363.7669565217388</v>
      </c>
      <c r="M35" s="99">
        <f t="shared" si="9"/>
        <v>1749.2069565217389</v>
      </c>
      <c r="O35" s="34"/>
    </row>
    <row r="36" spans="2:15" x14ac:dyDescent="0.25">
      <c r="B36" s="11" t="s">
        <v>95</v>
      </c>
      <c r="C36" s="10" t="s">
        <v>10</v>
      </c>
      <c r="D36" s="98">
        <f>$D$6/$D$7</f>
        <v>333.33333333333331</v>
      </c>
      <c r="E36" s="98">
        <f t="shared" ref="E36:F36" si="10">$D$6/$D$7</f>
        <v>333.33333333333331</v>
      </c>
      <c r="F36" s="99">
        <f t="shared" si="10"/>
        <v>333.33333333333331</v>
      </c>
      <c r="G36" s="98"/>
      <c r="H36" s="98"/>
      <c r="I36" s="11" t="s">
        <v>95</v>
      </c>
      <c r="J36" s="10" t="s">
        <v>10</v>
      </c>
      <c r="K36" s="98">
        <f>$K$6/$K$7</f>
        <v>333.33333333333331</v>
      </c>
      <c r="L36" s="98">
        <f t="shared" ref="L36:M36" si="11">$K$6/$K$7</f>
        <v>333.33333333333331</v>
      </c>
      <c r="M36" s="99">
        <f t="shared" si="11"/>
        <v>333.33333333333331</v>
      </c>
      <c r="O36" s="34"/>
    </row>
    <row r="37" spans="2:15" x14ac:dyDescent="0.25">
      <c r="B37" s="11" t="s">
        <v>94</v>
      </c>
      <c r="C37" s="10" t="s">
        <v>10</v>
      </c>
      <c r="D37" s="100">
        <f>D35-D36</f>
        <v>-1217.4664855072467</v>
      </c>
      <c r="E37" s="100">
        <f t="shared" ref="E37:F37" si="12">E35-E36</f>
        <v>1191.5335144927533</v>
      </c>
      <c r="F37" s="101">
        <f t="shared" si="12"/>
        <v>2396.0335144927526</v>
      </c>
      <c r="G37" s="100"/>
      <c r="H37" s="100"/>
      <c r="I37" s="11" t="s">
        <v>94</v>
      </c>
      <c r="J37" s="10" t="s">
        <v>10</v>
      </c>
      <c r="K37" s="100">
        <f>K35-K36</f>
        <v>259.55362318840554</v>
      </c>
      <c r="L37" s="100">
        <f t="shared" ref="L37:M37" si="13">L35-L36</f>
        <v>1030.4336231884056</v>
      </c>
      <c r="M37" s="101">
        <f t="shared" si="13"/>
        <v>1415.8736231884056</v>
      </c>
      <c r="O37" s="34"/>
    </row>
    <row r="38" spans="2:15" x14ac:dyDescent="0.25">
      <c r="B38" s="11" t="s">
        <v>96</v>
      </c>
      <c r="C38" s="10" t="s">
        <v>12</v>
      </c>
      <c r="D38" s="102">
        <f>D37/D34</f>
        <v>-0.22983804429478541</v>
      </c>
      <c r="E38" s="102">
        <f>E37/E34</f>
        <v>0.22494231746232055</v>
      </c>
      <c r="F38" s="103">
        <f>F37/F34</f>
        <v>0.45233249834087336</v>
      </c>
      <c r="G38" s="102"/>
      <c r="H38" s="102"/>
      <c r="I38" s="11" t="s">
        <v>96</v>
      </c>
      <c r="J38" s="10" t="s">
        <v>12</v>
      </c>
      <c r="K38" s="102">
        <f>K37/K34</f>
        <v>0.10095946783922422</v>
      </c>
      <c r="L38" s="102">
        <f>L37/L34</f>
        <v>0.40081131969107614</v>
      </c>
      <c r="M38" s="103">
        <f>M37/M34</f>
        <v>0.5507372456170021</v>
      </c>
      <c r="O38" s="34"/>
    </row>
    <row r="39" spans="2:15" ht="15.75" thickBot="1" x14ac:dyDescent="0.3">
      <c r="B39" s="81" t="s">
        <v>98</v>
      </c>
      <c r="C39" s="82" t="s">
        <v>12</v>
      </c>
      <c r="D39" s="85">
        <f>D36/D35</f>
        <v>-0.37701711842128161</v>
      </c>
      <c r="E39" s="85">
        <f t="shared" ref="E39:F39" si="14">E36/E35</f>
        <v>0.21859832142625904</v>
      </c>
      <c r="F39" s="86">
        <f t="shared" si="14"/>
        <v>0.12212844660248953</v>
      </c>
      <c r="G39" s="123"/>
      <c r="H39" s="123"/>
      <c r="I39" s="81" t="s">
        <v>98</v>
      </c>
      <c r="J39" s="82" t="s">
        <v>12</v>
      </c>
      <c r="K39" s="85">
        <f>K36/K35</f>
        <v>0.56222072296696124</v>
      </c>
      <c r="L39" s="125">
        <f t="shared" ref="L39:M39" si="15">L36/L35</f>
        <v>0.24442103670226289</v>
      </c>
      <c r="M39" s="86">
        <f t="shared" si="15"/>
        <v>0.19056254726779706</v>
      </c>
      <c r="O39" s="34"/>
    </row>
    <row r="40" spans="2:15" ht="15.75" thickBot="1" x14ac:dyDescent="0.3">
      <c r="O40" s="34"/>
    </row>
    <row r="41" spans="2:15" x14ac:dyDescent="0.25">
      <c r="B41" s="128" t="s">
        <v>143</v>
      </c>
      <c r="C41" s="129"/>
      <c r="D41" s="130"/>
      <c r="I41" s="128" t="s">
        <v>143</v>
      </c>
      <c r="J41" s="129"/>
      <c r="K41" s="130"/>
    </row>
    <row r="42" spans="2:15" x14ac:dyDescent="0.25">
      <c r="B42" s="19" t="s">
        <v>18</v>
      </c>
      <c r="C42" s="20" t="s">
        <v>4</v>
      </c>
      <c r="D42" s="32" t="s">
        <v>5</v>
      </c>
      <c r="I42" s="19" t="s">
        <v>18</v>
      </c>
      <c r="J42" s="20" t="s">
        <v>4</v>
      </c>
      <c r="K42" s="32" t="s">
        <v>5</v>
      </c>
    </row>
    <row r="43" spans="2:15" x14ac:dyDescent="0.25">
      <c r="B43" s="11" t="s">
        <v>148</v>
      </c>
      <c r="C43" s="10" t="s">
        <v>145</v>
      </c>
      <c r="D43" s="35">
        <v>370</v>
      </c>
      <c r="I43" s="11" t="s">
        <v>148</v>
      </c>
      <c r="J43" s="10" t="s">
        <v>145</v>
      </c>
      <c r="K43" s="35">
        <v>370</v>
      </c>
    </row>
    <row r="44" spans="2:15" x14ac:dyDescent="0.25">
      <c r="B44" s="11" t="s">
        <v>146</v>
      </c>
      <c r="C44" s="10" t="s">
        <v>147</v>
      </c>
      <c r="D44" s="35">
        <v>300</v>
      </c>
      <c r="I44" s="11" t="s">
        <v>146</v>
      </c>
      <c r="J44" s="10" t="s">
        <v>147</v>
      </c>
      <c r="K44" s="35">
        <v>100</v>
      </c>
    </row>
    <row r="45" spans="2:15" x14ac:dyDescent="0.25">
      <c r="B45" s="11" t="s">
        <v>140</v>
      </c>
      <c r="C45" s="10" t="s">
        <v>141</v>
      </c>
      <c r="D45" s="65">
        <f>12*D17*30</f>
        <v>270</v>
      </c>
      <c r="I45" s="11" t="s">
        <v>140</v>
      </c>
      <c r="J45" s="10" t="s">
        <v>141</v>
      </c>
      <c r="K45" s="65">
        <f>12*K17*30</f>
        <v>360</v>
      </c>
    </row>
    <row r="46" spans="2:15" x14ac:dyDescent="0.25">
      <c r="B46" s="11" t="s">
        <v>3</v>
      </c>
      <c r="C46" s="10" t="s">
        <v>7</v>
      </c>
      <c r="D46" s="65">
        <f>D9</f>
        <v>90</v>
      </c>
      <c r="I46" s="11" t="s">
        <v>3</v>
      </c>
      <c r="J46" s="10" t="s">
        <v>7</v>
      </c>
      <c r="K46" s="65">
        <f>K9</f>
        <v>90</v>
      </c>
    </row>
    <row r="47" spans="2:15" ht="15.75" thickBot="1" x14ac:dyDescent="0.3">
      <c r="B47" s="17" t="s">
        <v>142</v>
      </c>
      <c r="C47" s="18" t="s">
        <v>14</v>
      </c>
      <c r="D47" s="141">
        <f>D43*D44/D45/D46</f>
        <v>4.5679012345679011</v>
      </c>
      <c r="I47" s="17" t="s">
        <v>142</v>
      </c>
      <c r="J47" s="18" t="s">
        <v>14</v>
      </c>
      <c r="K47" s="141">
        <f>K43*K44/K45/K46</f>
        <v>1.1419753086419753</v>
      </c>
    </row>
    <row r="48" spans="2:15" ht="15.75" thickBot="1" x14ac:dyDescent="0.3"/>
    <row r="49" spans="2:13" ht="14.45" customHeight="1" x14ac:dyDescent="0.25">
      <c r="B49" s="128" t="s">
        <v>103</v>
      </c>
      <c r="C49" s="129"/>
      <c r="D49" s="129"/>
      <c r="E49" s="129"/>
      <c r="F49" s="130"/>
      <c r="G49" s="122"/>
      <c r="H49" s="122"/>
      <c r="I49" s="128" t="s">
        <v>103</v>
      </c>
      <c r="J49" s="129"/>
      <c r="K49" s="129"/>
      <c r="L49" s="129"/>
      <c r="M49" s="130"/>
    </row>
    <row r="50" spans="2:13" x14ac:dyDescent="0.25">
      <c r="B50" s="19" t="s">
        <v>18</v>
      </c>
      <c r="C50" s="20" t="s">
        <v>4</v>
      </c>
      <c r="D50" s="31" t="s">
        <v>82</v>
      </c>
      <c r="E50" s="31" t="s">
        <v>99</v>
      </c>
      <c r="F50" s="32" t="s">
        <v>84</v>
      </c>
      <c r="G50" s="71"/>
      <c r="H50" s="71"/>
      <c r="I50" s="19" t="s">
        <v>18</v>
      </c>
      <c r="J50" s="20" t="s">
        <v>4</v>
      </c>
      <c r="K50" s="31" t="s">
        <v>82</v>
      </c>
      <c r="L50" s="31" t="s">
        <v>99</v>
      </c>
      <c r="M50" s="32" t="s">
        <v>84</v>
      </c>
    </row>
    <row r="51" spans="2:13" x14ac:dyDescent="0.25">
      <c r="B51" s="11" t="s">
        <v>104</v>
      </c>
      <c r="C51" s="10" t="s">
        <v>10</v>
      </c>
      <c r="D51" s="52">
        <f>D27/$D$9</f>
        <v>4.2999999999999997E-2</v>
      </c>
      <c r="E51" s="52">
        <f>E27/$D$9</f>
        <v>4.2999999999999997E-2</v>
      </c>
      <c r="F51" s="79">
        <f>F27/$D$9</f>
        <v>4.2999999999999997E-2</v>
      </c>
      <c r="G51" s="52"/>
      <c r="H51" s="52"/>
      <c r="I51" s="11" t="s">
        <v>104</v>
      </c>
      <c r="J51" s="10" t="s">
        <v>10</v>
      </c>
      <c r="K51" s="52">
        <f>K27/$K$9</f>
        <v>6.5217391304347824E-2</v>
      </c>
      <c r="L51" s="52">
        <f>L27/$K$9</f>
        <v>6.5217391304347824E-2</v>
      </c>
      <c r="M51" s="79">
        <f>M27/$K$9</f>
        <v>6.5217391304347824E-2</v>
      </c>
    </row>
    <row r="52" spans="2:13" x14ac:dyDescent="0.25">
      <c r="B52" s="11" t="s">
        <v>105</v>
      </c>
      <c r="C52" s="10" t="s">
        <v>10</v>
      </c>
      <c r="D52" s="52">
        <f>D28/$D$9</f>
        <v>5.0177133655394522E-2</v>
      </c>
      <c r="E52" s="52">
        <f>E28/$D$9</f>
        <v>3.062157809983897E-2</v>
      </c>
      <c r="F52" s="79">
        <f>F28/$D$9</f>
        <v>2.0843800322061196E-2</v>
      </c>
      <c r="G52" s="52"/>
      <c r="H52" s="52"/>
      <c r="I52" s="11" t="s">
        <v>105</v>
      </c>
      <c r="J52" s="10" t="s">
        <v>10</v>
      </c>
      <c r="K52" s="52">
        <f>K28/$K$9</f>
        <v>5.0177133655394522E-2</v>
      </c>
      <c r="L52" s="52">
        <f>L28/$K$9</f>
        <v>3.062157809983897E-2</v>
      </c>
      <c r="M52" s="79">
        <f>M28/$K$9</f>
        <v>2.0843800322061196E-2</v>
      </c>
    </row>
    <row r="53" spans="2:13" x14ac:dyDescent="0.25">
      <c r="B53" s="11" t="s">
        <v>106</v>
      </c>
      <c r="C53" s="10" t="s">
        <v>10</v>
      </c>
      <c r="D53" s="52">
        <f>D51-D52</f>
        <v>-7.1771336553945256E-3</v>
      </c>
      <c r="E53" s="52">
        <f t="shared" ref="E53:F53" si="16">E51-E52</f>
        <v>1.2378421900161026E-2</v>
      </c>
      <c r="F53" s="79">
        <f t="shared" si="16"/>
        <v>2.21561996779388E-2</v>
      </c>
      <c r="G53" s="52"/>
      <c r="H53" s="52"/>
      <c r="I53" s="11" t="s">
        <v>106</v>
      </c>
      <c r="J53" s="10" t="s">
        <v>10</v>
      </c>
      <c r="K53" s="52">
        <f>K51-K52</f>
        <v>1.5040257648953302E-2</v>
      </c>
      <c r="L53" s="52">
        <f t="shared" ref="L53:M53" si="17">L51-L52</f>
        <v>3.4595813204508857E-2</v>
      </c>
      <c r="M53" s="79">
        <f t="shared" si="17"/>
        <v>4.4373590982286631E-2</v>
      </c>
    </row>
    <row r="54" spans="2:13" ht="15.75" thickBot="1" x14ac:dyDescent="0.3">
      <c r="B54" s="81" t="s">
        <v>153</v>
      </c>
      <c r="C54" s="82" t="s">
        <v>154</v>
      </c>
      <c r="D54" s="142">
        <f>D53*$D$43</f>
        <v>-2.6555394524959746</v>
      </c>
      <c r="E54" s="142">
        <f t="shared" ref="E54:F54" si="18">E53*$D$43</f>
        <v>4.5800161030595801</v>
      </c>
      <c r="F54" s="143">
        <f t="shared" si="18"/>
        <v>8.1977938808373558</v>
      </c>
      <c r="I54" s="81" t="s">
        <v>153</v>
      </c>
      <c r="J54" s="82" t="s">
        <v>154</v>
      </c>
      <c r="K54" s="142">
        <f>K53*$K$43</f>
        <v>5.564895330112722</v>
      </c>
      <c r="L54" s="142">
        <f t="shared" ref="L54:M54" si="19">L53*$K$43</f>
        <v>12.800450885668278</v>
      </c>
      <c r="M54" s="143">
        <f t="shared" si="19"/>
        <v>16.418228663446055</v>
      </c>
    </row>
    <row r="56" spans="2:13" x14ac:dyDescent="0.25">
      <c r="L56" s="34"/>
    </row>
  </sheetData>
  <mergeCells count="21">
    <mergeCell ref="B41:D41"/>
    <mergeCell ref="I41:K41"/>
    <mergeCell ref="P2:R2"/>
    <mergeCell ref="B49:F49"/>
    <mergeCell ref="B2:D2"/>
    <mergeCell ref="B4:D4"/>
    <mergeCell ref="B11:D11"/>
    <mergeCell ref="B19:D19"/>
    <mergeCell ref="B32:F32"/>
    <mergeCell ref="P25:T25"/>
    <mergeCell ref="P19:R19"/>
    <mergeCell ref="P11:R11"/>
    <mergeCell ref="P4:R4"/>
    <mergeCell ref="B25:F25"/>
    <mergeCell ref="I25:M25"/>
    <mergeCell ref="I32:M32"/>
    <mergeCell ref="I49:M49"/>
    <mergeCell ref="I2:K2"/>
    <mergeCell ref="I4:K4"/>
    <mergeCell ref="I11:K11"/>
    <mergeCell ref="I19:K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Info Sheet</vt:lpstr>
      <vt:lpstr>Oil Pressing</vt:lpstr>
      <vt:lpstr>Maize Shelling</vt:lpstr>
      <vt:lpstr>Spice Grinding</vt:lpstr>
      <vt:lpstr>Rice Hulling</vt:lpstr>
      <vt:lpstr>Juice Making</vt:lpstr>
      <vt:lpstr>Sugarcane Juicing</vt:lpstr>
      <vt:lpstr>Fruit Drying</vt:lpstr>
      <vt:lpstr>Flour Milling</vt:lpstr>
      <vt:lpstr>Peanut Shelling</vt:lpstr>
      <vt:lpstr>Coffee Pulping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Elliot Avila</dc:creator>
  <cp:lastModifiedBy>Elliot Avila</cp:lastModifiedBy>
  <dcterms:created xsi:type="dcterms:W3CDTF">2020-02-12T09:47:53Z</dcterms:created>
  <dcterms:modified xsi:type="dcterms:W3CDTF">2020-06-18T23:55:15Z</dcterms:modified>
</cp:coreProperties>
</file>